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16" windowHeight="3888" activeTab="0"/>
  </bookViews>
  <sheets>
    <sheet name="Formulas&amp;Factors" sheetId="1" r:id="rId1"/>
    <sheet name="Segments" sheetId="2" r:id="rId2"/>
    <sheet name="Intersections" sheetId="3" r:id="rId3"/>
    <sheet name="Sheet1" sheetId="4" r:id="rId4"/>
  </sheets>
  <definedNames>
    <definedName name="_xlnm._FilterDatabase" localSheetId="2" hidden="1">'Intersections'!$C$23:$S$25</definedName>
    <definedName name="_xlnm._FilterDatabase" localSheetId="1" hidden="1">'Segments'!$C$17:$T$19</definedName>
    <definedName name="_xlnm.Print_Area" localSheetId="0">'Formulas&amp;Factors'!$B$2:$I$54</definedName>
    <definedName name="_xlnm.Print_Area" localSheetId="2">'Intersections'!$B$2:$U$58</definedName>
    <definedName name="_xlnm.Print_Area" localSheetId="1">'Segments'!$B$2:$V$65</definedName>
    <definedName name="_xlnm.Print_Titles" localSheetId="2">'Intersections'!$22:$24</definedName>
    <definedName name="_xlnm.Print_Titles" localSheetId="1">'Segments'!$17:$19</definedName>
    <definedName name="Z_08A0EBD8_FA96_4E82_A7BE_7747EF53F11C_.wvu.Cols" localSheetId="2" hidden="1">'Intersections'!$V:$V</definedName>
    <definedName name="Z_08A0EBD8_FA96_4E82_A7BE_7747EF53F11C_.wvu.FilterData" localSheetId="2" hidden="1">'Intersections'!$C$23:$S$25</definedName>
    <definedName name="Z_08A0EBD8_FA96_4E82_A7BE_7747EF53F11C_.wvu.FilterData" localSheetId="1" hidden="1">'Segments'!$C$17:$T$19</definedName>
    <definedName name="Z_08A0EBD8_FA96_4E82_A7BE_7747EF53F11C_.wvu.PrintArea" localSheetId="0" hidden="1">'Formulas&amp;Factors'!$B$2:$I$54</definedName>
    <definedName name="Z_08A0EBD8_FA96_4E82_A7BE_7747EF53F11C_.wvu.PrintArea" localSheetId="2" hidden="1">'Intersections'!$B$2:$U$58</definedName>
    <definedName name="Z_08A0EBD8_FA96_4E82_A7BE_7747EF53F11C_.wvu.PrintArea" localSheetId="1" hidden="1">'Segments'!$B$2:$V$65</definedName>
    <definedName name="Z_08A0EBD8_FA96_4E82_A7BE_7747EF53F11C_.wvu.PrintTitles" localSheetId="2" hidden="1">'Intersections'!$22:$24</definedName>
    <definedName name="Z_08A0EBD8_FA96_4E82_A7BE_7747EF53F11C_.wvu.PrintTitles" localSheetId="1" hidden="1">'Segments'!$17:$19</definedName>
    <definedName name="Z_451752F2_1747_4946_A982_0F677CB2DD4A_.wvu.Cols" localSheetId="2" hidden="1">'Intersections'!$V:$V</definedName>
    <definedName name="Z_451752F2_1747_4946_A982_0F677CB2DD4A_.wvu.FilterData" localSheetId="2" hidden="1">'Intersections'!$C$23:$S$25</definedName>
    <definedName name="Z_451752F2_1747_4946_A982_0F677CB2DD4A_.wvu.FilterData" localSheetId="1" hidden="1">'Segments'!$C$17:$T$19</definedName>
    <definedName name="Z_451752F2_1747_4946_A982_0F677CB2DD4A_.wvu.PrintArea" localSheetId="0" hidden="1">'Formulas&amp;Factors'!$B$2:$I$54</definedName>
    <definedName name="Z_451752F2_1747_4946_A982_0F677CB2DD4A_.wvu.PrintArea" localSheetId="2" hidden="1">'Intersections'!$B$2:$U$58</definedName>
    <definedName name="Z_451752F2_1747_4946_A982_0F677CB2DD4A_.wvu.PrintArea" localSheetId="1" hidden="1">'Segments'!$B$2:$V$65</definedName>
    <definedName name="Z_451752F2_1747_4946_A982_0F677CB2DD4A_.wvu.PrintTitles" localSheetId="2" hidden="1">'Intersections'!$22:$24</definedName>
    <definedName name="Z_451752F2_1747_4946_A982_0F677CB2DD4A_.wvu.PrintTitles" localSheetId="1" hidden="1">'Segments'!$17:$19</definedName>
    <definedName name="Z_FCE05C20_6935_4BA8_A967_F6280916AB2C_.wvu.Cols" localSheetId="2" hidden="1">'Intersections'!$V:$V</definedName>
    <definedName name="Z_FCE05C20_6935_4BA8_A967_F6280916AB2C_.wvu.FilterData" localSheetId="2" hidden="1">'Intersections'!$C$23:$S$25</definedName>
    <definedName name="Z_FCE05C20_6935_4BA8_A967_F6280916AB2C_.wvu.FilterData" localSheetId="1" hidden="1">'Segments'!$C$17:$T$19</definedName>
    <definedName name="Z_FCE05C20_6935_4BA8_A967_F6280916AB2C_.wvu.PrintArea" localSheetId="0" hidden="1">'Formulas&amp;Factors'!$B$2:$I$54</definedName>
    <definedName name="Z_FCE05C20_6935_4BA8_A967_F6280916AB2C_.wvu.PrintArea" localSheetId="2" hidden="1">'Intersections'!$B$2:$U$58</definedName>
    <definedName name="Z_FCE05C20_6935_4BA8_A967_F6280916AB2C_.wvu.PrintArea" localSheetId="1" hidden="1">'Segments'!$B$2:$V$65</definedName>
    <definedName name="Z_FCE05C20_6935_4BA8_A967_F6280916AB2C_.wvu.PrintTitles" localSheetId="2" hidden="1">'Intersections'!$22:$24</definedName>
    <definedName name="Z_FCE05C20_6935_4BA8_A967_F6280916AB2C_.wvu.PrintTitles" localSheetId="1" hidden="1">'Segments'!$17:$19</definedName>
  </definedNames>
  <calcPr fullCalcOnLoad="1"/>
</workbook>
</file>

<file path=xl/comments1.xml><?xml version="1.0" encoding="utf-8"?>
<comments xmlns="http://schemas.openxmlformats.org/spreadsheetml/2006/main">
  <authors>
    <author>KurtS</author>
    <author>jcjeffers</author>
  </authors>
  <commentList>
    <comment ref="H10" authorId="0">
      <text>
        <r>
          <rPr>
            <b/>
            <sz val="9"/>
            <rFont val="Tahoma"/>
            <family val="2"/>
          </rPr>
          <t>KurtS:</t>
        </r>
        <r>
          <rPr>
            <sz val="9"/>
            <rFont val="Tahoma"/>
            <family val="2"/>
          </rPr>
          <t xml:space="preserve">
Accidents per million entering vehicles</t>
        </r>
      </text>
    </comment>
    <comment ref="H9" authorId="0">
      <text>
        <r>
          <rPr>
            <b/>
            <sz val="9"/>
            <rFont val="Tahoma"/>
            <family val="2"/>
          </rPr>
          <t xml:space="preserve">JCJ:
</t>
        </r>
        <r>
          <rPr>
            <sz val="9"/>
            <rFont val="Tahoma"/>
            <family val="2"/>
          </rPr>
          <t>Last updated in November 2014.  HAS disabled in fall 2015 prior to this update, so no effort to update rates for 16th Edition.</t>
        </r>
      </text>
    </comment>
    <comment ref="H48" authorId="1">
      <text>
        <r>
          <rPr>
            <b/>
            <sz val="9"/>
            <rFont val="Tahoma"/>
            <family val="2"/>
          </rPr>
          <t>jcjeffers:</t>
        </r>
        <r>
          <rPr>
            <sz val="9"/>
            <rFont val="Tahoma"/>
            <family val="2"/>
          </rPr>
          <t xml:space="preserve">
FHWA Memo dataed 2/5/08 evaluated the value of a statistical life at $5.8 million, and instructed that the value of injuries of varying severity be estimated applying the percentages used in the 1993 federal cost data (T7570.2 ).  
FHWA Memo issued VSL guidance in 2013 of $9.1 million. Ojn June 13, 2014 updated that to $9.2 million per fatal injury and on June 17, 2015 increased again to $9.4 million.  Although we weren't aware of the 2013 memo, we adopted the 2015 value for the FFY 17 HSIP Handbook.
The process here escalaates FHWA crash costs to 2015, applies percentages from the 2008 memo for lesser severities.
Statewide T&amp;S weighted and proportioned the costs using Alaska accident experience to smooth costs.  
</t>
        </r>
      </text>
    </comment>
    <comment ref="H19" authorId="0">
      <text>
        <r>
          <rPr>
            <b/>
            <sz val="9"/>
            <rFont val="Tahoma"/>
            <family val="2"/>
          </rPr>
          <t>KurtS:</t>
        </r>
        <r>
          <rPr>
            <sz val="9"/>
            <rFont val="Tahoma"/>
            <family val="2"/>
          </rPr>
          <t xml:space="preserve">
 Urban segments use AK Data. 
Rural roads use NY State data.  
</t>
        </r>
      </text>
    </comment>
    <comment ref="H20" authorId="0">
      <text>
        <r>
          <rPr>
            <b/>
            <sz val="9"/>
            <rFont val="Tahoma"/>
            <family val="2"/>
          </rPr>
          <t>KurtS:</t>
        </r>
        <r>
          <rPr>
            <sz val="9"/>
            <rFont val="Tahoma"/>
            <family val="2"/>
          </rPr>
          <t xml:space="preserve">
Accidents per million vehicle-miles</t>
        </r>
      </text>
    </comment>
  </commentList>
</comments>
</file>

<file path=xl/comments2.xml><?xml version="1.0" encoding="utf-8"?>
<comments xmlns="http://schemas.openxmlformats.org/spreadsheetml/2006/main">
  <authors>
    <author>jcjeffers</author>
  </authors>
  <commentList>
    <comment ref="N17" authorId="0">
      <text>
        <r>
          <rPr>
            <b/>
            <sz val="9"/>
            <rFont val="Tahoma"/>
            <family val="2"/>
          </rPr>
          <t>jcjeffers:</t>
        </r>
        <r>
          <rPr>
            <sz val="9"/>
            <rFont val="Tahoma"/>
            <family val="2"/>
          </rPr>
          <t xml:space="preserve">
Manually enter Segment type using descriptions on Formulas and Factors page</t>
        </r>
      </text>
    </comment>
  </commentList>
</comments>
</file>

<file path=xl/sharedStrings.xml><?xml version="1.0" encoding="utf-8"?>
<sst xmlns="http://schemas.openxmlformats.org/spreadsheetml/2006/main" count="191" uniqueCount="143">
  <si>
    <t>Alaska DOT/PF</t>
  </si>
  <si>
    <t>Highway Safety Improvement Program</t>
  </si>
  <si>
    <t>End:</t>
  </si>
  <si>
    <t>PDO</t>
  </si>
  <si>
    <t>Min</t>
  </si>
  <si>
    <t>Maj</t>
  </si>
  <si>
    <t>Fat</t>
  </si>
  <si>
    <t>Region:</t>
  </si>
  <si>
    <t>Central</t>
  </si>
  <si>
    <t>Rate</t>
  </si>
  <si>
    <t>High Accident Location Screening Process</t>
  </si>
  <si>
    <t>Formulas and Factors</t>
  </si>
  <si>
    <t>Statewide Average Intersection Accident Rates</t>
  </si>
  <si>
    <t>Signalized</t>
  </si>
  <si>
    <t>Intersection Type</t>
  </si>
  <si>
    <t>Statewide Average Segment Accident Rates</t>
  </si>
  <si>
    <t>Segment Type</t>
  </si>
  <si>
    <t>Urban</t>
  </si>
  <si>
    <t>Rural</t>
  </si>
  <si>
    <t>2 Lane</t>
  </si>
  <si>
    <t>4 or more undivided</t>
  </si>
  <si>
    <t>4 or more divided</t>
  </si>
  <si>
    <t>Freeway</t>
  </si>
  <si>
    <t>"k" Factors</t>
  </si>
  <si>
    <t>k</t>
  </si>
  <si>
    <t>Analysis Period:</t>
  </si>
  <si>
    <t>Start:</t>
  </si>
  <si>
    <t>Years in Period:</t>
  </si>
  <si>
    <t>Type No</t>
  </si>
  <si>
    <t>(Adjust Level of Confidence (90, 95, 99.5, or 99.9%) to get a manageable no of projects)</t>
  </si>
  <si>
    <t>All Way STOP</t>
  </si>
  <si>
    <t>Two Way STOP</t>
  </si>
  <si>
    <t>Form Completed By:</t>
  </si>
  <si>
    <t>All</t>
  </si>
  <si>
    <t>Date:</t>
  </si>
  <si>
    <t>Level of Confidence:</t>
  </si>
  <si>
    <t>2 Approach*</t>
  </si>
  <si>
    <t>3 Approach*</t>
  </si>
  <si>
    <t>4 Approach*</t>
  </si>
  <si>
    <t>Comments</t>
  </si>
  <si>
    <t>Joe Traffic</t>
  </si>
  <si>
    <t>Property Damage Only:</t>
  </si>
  <si>
    <t>Minor Injury:</t>
  </si>
  <si>
    <t>Major Injury:</t>
  </si>
  <si>
    <t>Fatality:</t>
  </si>
  <si>
    <t>Confidence</t>
  </si>
  <si>
    <t>High Road</t>
  </si>
  <si>
    <t>Diagon Alley</t>
  </si>
  <si>
    <t>Road to Nowhere</t>
  </si>
  <si>
    <t>Grandiose Blvd</t>
  </si>
  <si>
    <t>Haute Route</t>
  </si>
  <si>
    <t>Moulin Route</t>
  </si>
  <si>
    <t>Highliner's Highway</t>
  </si>
  <si>
    <t>Rocky Mtn High Way</t>
  </si>
  <si>
    <t>Thoroughfare Lane</t>
  </si>
  <si>
    <t>New York Accident Rates</t>
  </si>
  <si>
    <t>Simple Avg</t>
  </si>
  <si>
    <t>Rounded off</t>
  </si>
  <si>
    <t>Use AK Data</t>
  </si>
  <si>
    <t>Intersections</t>
  </si>
  <si>
    <t>Segments</t>
  </si>
  <si>
    <t>Segment Location/Terminii</t>
  </si>
  <si>
    <t>Intersection Location</t>
  </si>
  <si>
    <t>Street 1</t>
  </si>
  <si>
    <t>Street 2</t>
  </si>
  <si>
    <t>Red Wagon Pkwy</t>
  </si>
  <si>
    <t>Downtown Ave</t>
  </si>
  <si>
    <t>Fairweather Ave</t>
  </si>
  <si>
    <t>Unalakleet Way</t>
  </si>
  <si>
    <t>Beaufort Hwy</t>
  </si>
  <si>
    <t>Cross Street</t>
  </si>
  <si>
    <t>Wayfarer Road</t>
  </si>
  <si>
    <t>Bigwheel Lane</t>
  </si>
  <si>
    <t>Uptown St</t>
  </si>
  <si>
    <t>McKinley St</t>
  </si>
  <si>
    <t>Anaktuvuk Tr</t>
  </si>
  <si>
    <t>Bering St</t>
  </si>
  <si>
    <t>Mainline Ave</t>
  </si>
  <si>
    <t>Hwy 2</t>
  </si>
  <si>
    <t>Fifth St</t>
  </si>
  <si>
    <t>G St</t>
  </si>
  <si>
    <t>Cross A</t>
  </si>
  <si>
    <t>Cross B</t>
  </si>
  <si>
    <t>Start St</t>
  </si>
  <si>
    <t>End St</t>
  </si>
  <si>
    <t>Intsctg Way A</t>
  </si>
  <si>
    <t>Intsctg Way B</t>
  </si>
  <si>
    <t>Trail 1</t>
  </si>
  <si>
    <t>Trail 2</t>
  </si>
  <si>
    <t>Crusin' Way</t>
  </si>
  <si>
    <t>Draggin' Lane</t>
  </si>
  <si>
    <t>Here St</t>
  </si>
  <si>
    <t>There St</t>
  </si>
  <si>
    <t>Upper St</t>
  </si>
  <si>
    <t>Lower St</t>
  </si>
  <si>
    <t>(Note 4)</t>
  </si>
  <si>
    <t>Highland Dr.</t>
  </si>
  <si>
    <t>Lowland Way</t>
  </si>
  <si>
    <t>Cod Hole</t>
  </si>
  <si>
    <t>Salmon Creek</t>
  </si>
  <si>
    <t>(Note 6)</t>
  </si>
  <si>
    <r>
      <t>Sort (3</t>
    </r>
    <r>
      <rPr>
        <sz val="9"/>
        <rFont val="Arial"/>
        <family val="2"/>
      </rPr>
      <t>)</t>
    </r>
  </si>
  <si>
    <t>https://www.dot.ny.gov/divisions/operating/osss/highway/accident-rates?nd=nysdot</t>
  </si>
  <si>
    <t>Used in Calcs</t>
  </si>
  <si>
    <t>SOURCE OF DATA:</t>
  </si>
  <si>
    <t>CDS Route Number</t>
  </si>
  <si>
    <t>CDS Route Name</t>
  </si>
  <si>
    <t>Mile Pt From</t>
  </si>
  <si>
    <t>Street From</t>
  </si>
  <si>
    <t>Mile Pt To</t>
  </si>
  <si>
    <t>Street To</t>
  </si>
  <si>
    <t>ADT 5 Yr Avg</t>
  </si>
  <si>
    <t>Segment Lgth</t>
  </si>
  <si>
    <t>Mil Veh-Miles in Period</t>
  </si>
  <si>
    <t>Total Accidents</t>
  </si>
  <si>
    <t>Accident Rate</t>
  </si>
  <si>
    <t>State Avg Rate</t>
  </si>
  <si>
    <t>Severity Indicator</t>
  </si>
  <si>
    <t>Entering ADT 5 Yr Avg</t>
  </si>
  <si>
    <t>Int. Type</t>
  </si>
  <si>
    <t xml:space="preserve"> Total Accidents</t>
  </si>
  <si>
    <t>Acc. Cost Rate</t>
  </si>
  <si>
    <t>Sort (3)</t>
  </si>
  <si>
    <t>State Avg Acc. Rate</t>
  </si>
  <si>
    <t>Critical Acc. Rate</t>
  </si>
  <si>
    <t>Critical Rate Exceeded?</t>
  </si>
  <si>
    <t>Safety Index (AR/CAR)</t>
  </si>
  <si>
    <t>Mill. of Entering Veh in Period</t>
  </si>
  <si>
    <t>Corrected formula +1/(2*M)  (previously was 1/2M which could be misread as 1/2 * M)</t>
  </si>
  <si>
    <t xml:space="preserve">Last FOUR columns NOT </t>
  </si>
  <si>
    <t xml:space="preserve"> Accident Costs (AK 2008-2012 Acc. Data)</t>
  </si>
  <si>
    <t>For the FFY '18 HSIP</t>
  </si>
  <si>
    <t>2014 -</t>
  </si>
  <si>
    <t>2013 -</t>
  </si>
  <si>
    <t>2012 -</t>
  </si>
  <si>
    <t>2011 -</t>
  </si>
  <si>
    <t>2010 -</t>
  </si>
  <si>
    <t>2009 -</t>
  </si>
  <si>
    <t>2008 -</t>
  </si>
  <si>
    <t>AVERAGE ACCIDENT RATES:   Intersection: AK Statewide HAS data 2008-12 for all intersection types. Segment: Urban - AK Statewide HAS data 2007-2011;   Rural - NY State averages 2008-12.</t>
  </si>
  <si>
    <t>For development of Alaska crash rates, see spreadsheet:  2000-2012 Statewide Accident Rates with Factors page 110716.xlsx</t>
  </si>
  <si>
    <t>Traffic Network drive:  R:\traffic\HSIP\0. HSIP Process\1 Handbk Revisions\2017 - 17th Edition HSIP Hdbk\3. Handbook Worksheet Revisions\Supporting Docs</t>
  </si>
  <si>
    <t>ACCIDENT COSTS:  Based on 2009 federal Value of Statistical Life (VSL) cost data (not escalated due to limited escalation information).    Accident Costs are weighted and proportioned using Alaska accident experience to smooth costs (see Accident Cost Derivation Spreadsheet).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</si>
</sst>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00"/>
    <numFmt numFmtId="167" formatCode="_(* #,##0_);_(* \(#,##0\);_(* &quot;-&quot;??_);_(@_)"/>
    <numFmt numFmtId="168" formatCode="_(* #,##0.000_);_(* \(#,##0.000\);_(* &quot;-&quot;??_);_(@_)"/>
    <numFmt numFmtId="169" formatCode="#,##0.000"/>
    <numFmt numFmtId="170" formatCode="_(&quot;$&quot;* #,##0_);_(&quot;$&quot;* \(#,##0\);_(&quot;$&quot;* &quot;-&quot;??_);_(@_)"/>
    <numFmt numFmtId="171" formatCode="0.0"/>
  </numFmts>
  <fonts count="81">
    <font>
      <sz val="10"/>
      <name val="Helvetica"/>
      <family val="2"/>
    </font>
    <font>
      <sz val="11"/>
      <color indexed="8"/>
      <name val="Calibri"/>
      <family val="2"/>
    </font>
    <font>
      <sz val="10"/>
      <name val="Arial"/>
      <family val="2"/>
    </font>
    <font>
      <sz val="12"/>
      <name val="Helvetica"/>
      <family val="2"/>
    </font>
    <font>
      <sz val="8"/>
      <name val="Helvetica"/>
      <family val="2"/>
    </font>
    <font>
      <b/>
      <sz val="10"/>
      <name val="Helvetica"/>
      <family val="0"/>
    </font>
    <font>
      <b/>
      <i/>
      <sz val="14"/>
      <color indexed="10"/>
      <name val="Arial"/>
      <family val="2"/>
    </font>
    <font>
      <sz val="12"/>
      <name val="Arial"/>
      <family val="2"/>
    </font>
    <font>
      <sz val="11"/>
      <color indexed="10"/>
      <name val="Arial"/>
      <family val="2"/>
    </font>
    <font>
      <b/>
      <i/>
      <sz val="11"/>
      <color indexed="10"/>
      <name val="Arial"/>
      <family val="2"/>
    </font>
    <font>
      <b/>
      <sz val="10"/>
      <name val="Arial"/>
      <family val="2"/>
    </font>
    <font>
      <b/>
      <sz val="9"/>
      <name val="Arial"/>
      <family val="2"/>
    </font>
    <font>
      <b/>
      <sz val="8"/>
      <name val="Arial"/>
      <family val="2"/>
    </font>
    <font>
      <sz val="12"/>
      <color indexed="10"/>
      <name val="Arial"/>
      <family val="2"/>
    </font>
    <font>
      <i/>
      <sz val="10"/>
      <name val="Arial"/>
      <family val="2"/>
    </font>
    <font>
      <b/>
      <i/>
      <sz val="14"/>
      <name val="Arial"/>
      <family val="2"/>
    </font>
    <font>
      <b/>
      <i/>
      <sz val="18"/>
      <name val="Arial"/>
      <family val="2"/>
    </font>
    <font>
      <b/>
      <i/>
      <sz val="12"/>
      <name val="Arial"/>
      <family val="2"/>
    </font>
    <font>
      <b/>
      <sz val="11"/>
      <name val="Arial"/>
      <family val="2"/>
    </font>
    <font>
      <sz val="9"/>
      <color indexed="10"/>
      <name val="Arial"/>
      <family val="2"/>
    </font>
    <font>
      <sz val="9"/>
      <name val="Arial"/>
      <family val="2"/>
    </font>
    <font>
      <sz val="8"/>
      <name val="Arial"/>
      <family val="2"/>
    </font>
    <font>
      <b/>
      <i/>
      <sz val="10"/>
      <name val="Arial"/>
      <family val="2"/>
    </font>
    <font>
      <b/>
      <sz val="12"/>
      <name val="Helvetica"/>
      <family val="0"/>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Helvetic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Helvetic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Helvetica"/>
      <family val="2"/>
    </font>
    <font>
      <sz val="12"/>
      <color indexed="30"/>
      <name val="Arial"/>
      <family val="2"/>
    </font>
    <font>
      <sz val="8"/>
      <name val="Segoe UI"/>
      <family val="2"/>
    </font>
    <font>
      <b/>
      <sz val="10"/>
      <color indexed="8"/>
      <name val="Arial"/>
      <family val="0"/>
    </font>
    <font>
      <sz val="10"/>
      <color indexed="8"/>
      <name val="Arial"/>
      <family val="0"/>
    </font>
    <font>
      <sz val="8"/>
      <color indexed="8"/>
      <name val="Arial"/>
      <family val="0"/>
    </font>
    <font>
      <i/>
      <sz val="9"/>
      <color indexed="8"/>
      <name val="Arial"/>
      <family val="0"/>
    </font>
    <font>
      <sz val="10"/>
      <color indexed="8"/>
      <name val="Helvetica"/>
      <family val="0"/>
    </font>
    <font>
      <b/>
      <sz val="9"/>
      <color indexed="8"/>
      <name val="Arial"/>
      <family val="0"/>
    </font>
    <font>
      <sz val="9"/>
      <color indexed="8"/>
      <name val="Arial"/>
      <family val="0"/>
    </font>
    <font>
      <sz val="12"/>
      <color indexed="8"/>
      <name val="Calibri"/>
      <family val="0"/>
    </font>
    <font>
      <b/>
      <i/>
      <sz val="14"/>
      <color indexed="8"/>
      <name val="Arial"/>
      <family val="0"/>
    </font>
    <font>
      <b/>
      <i/>
      <sz val="18"/>
      <color indexed="8"/>
      <name val="Arial"/>
      <family val="0"/>
    </font>
    <font>
      <sz val="10"/>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lvetica"/>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lvetic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10"/>
      <color rgb="FFFF0000"/>
      <name val="Helvetica"/>
      <family val="2"/>
    </font>
    <font>
      <sz val="12"/>
      <color rgb="FF0070C0"/>
      <name val="Arial"/>
      <family val="2"/>
    </font>
    <font>
      <b/>
      <sz val="8"/>
      <name val="Helvetic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style="thin"/>
    </border>
    <border>
      <left/>
      <right style="thin"/>
      <top/>
      <bottom/>
    </border>
    <border>
      <left/>
      <right/>
      <top/>
      <bottom style="thin"/>
    </border>
    <border>
      <left style="thin"/>
      <right/>
      <top style="thin"/>
      <bottom style="thin"/>
    </border>
    <border>
      <left style="thin"/>
      <right style="thin">
        <color indexed="10"/>
      </right>
      <top style="thin"/>
      <bottom style="thin"/>
    </border>
    <border>
      <left/>
      <right/>
      <top style="thin"/>
      <bottom style="thin"/>
    </border>
    <border>
      <left/>
      <right/>
      <top style="thin"/>
      <bottom/>
    </border>
    <border>
      <left/>
      <right style="thin"/>
      <top style="thin"/>
      <bottom style="thin"/>
    </border>
    <border>
      <left style="thin"/>
      <right style="thin"/>
      <top style="thin"/>
      <bottom style="thin"/>
    </border>
    <border>
      <left style="thin">
        <color indexed="10"/>
      </left>
      <right/>
      <top style="thin">
        <color rgb="FFFF0000"/>
      </top>
      <bottom style="thin">
        <color indexed="10"/>
      </bottom>
    </border>
    <border>
      <left style="thin">
        <color rgb="FFFF0000"/>
      </left>
      <right style="thin">
        <color rgb="FFFF0000"/>
      </right>
      <top style="thin">
        <color indexed="10"/>
      </top>
      <bottom style="thin">
        <color indexed="10"/>
      </bottom>
    </border>
    <border>
      <left style="thin">
        <color rgb="FFFF0000"/>
      </left>
      <right style="thin"/>
      <top style="thin">
        <color indexed="10"/>
      </top>
      <bottom style="thin">
        <color rgb="FFFF0000"/>
      </bottom>
    </border>
    <border>
      <left style="thin">
        <color rgb="FFFF0000"/>
      </left>
      <right style="thin">
        <color rgb="FFFF0000"/>
      </right>
      <top style="thin">
        <color indexed="10"/>
      </top>
      <bottom style="thin">
        <color rgb="FFFF0000"/>
      </bottom>
    </border>
    <border>
      <left style="thin">
        <color rgb="FFFF0000"/>
      </left>
      <right style="thin"/>
      <top style="thin">
        <color rgb="FFFF0000"/>
      </top>
      <bottom style="thin">
        <color rgb="FFFF0000"/>
      </bottom>
    </border>
    <border>
      <left style="thin">
        <color rgb="FFFF0000"/>
      </left>
      <right style="thin">
        <color rgb="FFFF0000"/>
      </right>
      <top style="thin">
        <color rgb="FFFF0000"/>
      </top>
      <bottom style="thin">
        <color rgb="FFFF0000"/>
      </bottom>
    </border>
    <border>
      <left style="thin"/>
      <right style="thin">
        <color rgb="FFFF0000"/>
      </right>
      <top style="thin">
        <color indexed="10"/>
      </top>
      <bottom style="thin">
        <color indexed="10"/>
      </bottom>
    </border>
    <border>
      <left style="thin"/>
      <right style="thin">
        <color rgb="FFFF0000"/>
      </right>
      <top style="thin">
        <color indexed="10"/>
      </top>
      <bottom style="thin">
        <color rgb="FFFF0000"/>
      </bottom>
    </border>
    <border>
      <left style="thin"/>
      <right style="thin">
        <color rgb="FFFF0000"/>
      </right>
      <top style="thin">
        <color rgb="FFFF0000"/>
      </top>
      <bottom style="thin">
        <color rgb="FFFF0000"/>
      </bottom>
    </border>
    <border>
      <left style="thin">
        <color rgb="FFFF0000"/>
      </left>
      <right style="thin">
        <color rgb="FFFF0000"/>
      </right>
      <top style="thin">
        <color rgb="FFFF0000"/>
      </top>
      <bottom style="thin">
        <color indexed="10"/>
      </bottom>
    </border>
    <border>
      <left style="thin">
        <color rgb="FFFF0000"/>
      </left>
      <right style="thin"/>
      <top style="thin">
        <color rgb="FFFF0000"/>
      </top>
      <bottom style="thin">
        <color indexed="10"/>
      </bottom>
    </border>
    <border>
      <left style="thin">
        <color rgb="FFFF0000"/>
      </left>
      <right style="thin">
        <color rgb="FFFF0000"/>
      </right>
      <top/>
      <bottom style="thin">
        <color indexed="10"/>
      </bottom>
    </border>
    <border>
      <left style="thin">
        <color rgb="FFFF0000"/>
      </left>
      <right style="thin"/>
      <top style="thin">
        <color indexed="10"/>
      </top>
      <bottom style="thin">
        <color indexed="10"/>
      </bottom>
    </border>
    <border>
      <left/>
      <right style="thin">
        <color indexed="10"/>
      </right>
      <top style="thin"/>
      <bottom style="thin"/>
    </border>
    <border>
      <left/>
      <right/>
      <top style="thin">
        <color rgb="FFFF0000"/>
      </top>
      <bottom style="thin">
        <color rgb="FFFF0000"/>
      </bottom>
    </border>
    <border>
      <left/>
      <right style="thin">
        <color rgb="FFFF0000"/>
      </right>
      <top style="thin">
        <color rgb="FFFF0000"/>
      </top>
      <bottom style="thin">
        <color rgb="FFFF0000"/>
      </bottom>
    </border>
    <border>
      <left style="thin">
        <color indexed="10"/>
      </left>
      <right style="thin">
        <color indexed="10"/>
      </right>
      <top style="thin">
        <color indexed="10"/>
      </top>
      <bottom style="thin">
        <color indexed="10"/>
      </bottom>
    </border>
    <border>
      <left style="thin">
        <color indexed="10"/>
      </left>
      <right/>
      <top style="thin">
        <color indexed="10"/>
      </top>
      <bottom style="thin">
        <color indexed="10"/>
      </bottom>
    </border>
    <border>
      <left/>
      <right/>
      <top style="thin">
        <color indexed="10"/>
      </top>
      <bottom style="thin">
        <color indexed="10"/>
      </bottom>
    </border>
    <border>
      <left style="thin">
        <color rgb="FFFF0000"/>
      </left>
      <right/>
      <top style="thin">
        <color indexed="10"/>
      </top>
      <bottom style="thin">
        <color rgb="FFFF0000"/>
      </bottom>
    </border>
    <border>
      <left/>
      <right/>
      <top style="thin">
        <color indexed="10"/>
      </top>
      <bottom style="thin">
        <color rgb="FFFF0000"/>
      </bottom>
    </border>
    <border>
      <left style="thin">
        <color rgb="FFFF0000"/>
      </left>
      <right/>
      <top style="thin">
        <color rgb="FFFF0000"/>
      </top>
      <bottom style="thin">
        <color rgb="FFFF0000"/>
      </bottom>
    </border>
    <border>
      <left style="thin"/>
      <right style="thin"/>
      <top style="thin">
        <color rgb="FFFF0000"/>
      </top>
      <bottom style="thin">
        <color rgb="FFFF0000"/>
      </bottom>
    </border>
    <border>
      <left style="medium"/>
      <right>
        <color indexed="63"/>
      </right>
      <top>
        <color indexed="63"/>
      </top>
      <bottom>
        <color indexed="63"/>
      </bottom>
    </border>
    <border>
      <left style="medium"/>
      <right style="thin"/>
      <top style="thin"/>
      <bottom/>
    </border>
    <border>
      <left style="medium"/>
      <right style="thin"/>
      <top/>
      <bottom/>
    </border>
    <border>
      <left style="medium"/>
      <right style="thin"/>
      <top/>
      <bottom style="thin"/>
    </border>
    <border>
      <left style="thin"/>
      <right style="thin"/>
      <top/>
      <bottom style="thin">
        <color indexed="10"/>
      </bottom>
    </border>
    <border>
      <left/>
      <right style="thin">
        <color indexed="10"/>
      </right>
      <top style="thin">
        <color indexed="10"/>
      </top>
      <bottom style="thin">
        <color indexed="10"/>
      </bottom>
    </border>
    <border>
      <left style="thin"/>
      <right>
        <color indexed="63"/>
      </right>
      <top>
        <color indexed="63"/>
      </top>
      <bottom style="thin">
        <color indexed="10"/>
      </bottom>
    </border>
    <border>
      <left>
        <color indexed="63"/>
      </left>
      <right style="thin"/>
      <top>
        <color indexed="63"/>
      </top>
      <bottom style="thin">
        <color indexed="10"/>
      </bottom>
    </border>
    <border>
      <left style="thin"/>
      <right style="thin"/>
      <top/>
      <bottom style="thin">
        <color rgb="FFFF0000"/>
      </bottom>
    </border>
    <border>
      <left style="thin">
        <color indexed="10"/>
      </left>
      <right/>
      <top style="thin">
        <color rgb="FFFF0000"/>
      </top>
      <bottom style="thin">
        <color rgb="FFFF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32" borderId="7" applyNumberFormat="0" applyFont="0" applyAlignment="0" applyProtection="0"/>
    <xf numFmtId="0" fontId="73" fillId="27" borderId="8" applyNumberFormat="0" applyAlignment="0" applyProtection="0"/>
    <xf numFmtId="9" fontId="2"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63">
    <xf numFmtId="0" fontId="0" fillId="0" borderId="0" xfId="0" applyAlignment="1">
      <alignment/>
    </xf>
    <xf numFmtId="0" fontId="0" fillId="0" borderId="0" xfId="0" applyFont="1" applyAlignment="1">
      <alignment/>
    </xf>
    <xf numFmtId="0" fontId="0" fillId="1" borderId="10" xfId="0" applyFont="1" applyFill="1" applyBorder="1" applyAlignment="1">
      <alignment/>
    </xf>
    <xf numFmtId="0" fontId="0" fillId="1" borderId="11" xfId="0" applyFont="1" applyFill="1" applyBorder="1" applyAlignment="1">
      <alignment/>
    </xf>
    <xf numFmtId="0" fontId="0" fillId="1" borderId="12" xfId="0" applyFont="1" applyFill="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2" fontId="3" fillId="0" borderId="16" xfId="0" applyNumberFormat="1" applyFont="1" applyBorder="1" applyAlignment="1">
      <alignment horizontal="center"/>
    </xf>
    <xf numFmtId="2" fontId="3" fillId="0" borderId="17" xfId="0" applyNumberFormat="1" applyFont="1" applyBorder="1" applyAlignment="1">
      <alignment horizontal="center"/>
    </xf>
    <xf numFmtId="2" fontId="3" fillId="0" borderId="18" xfId="0" applyNumberFormat="1" applyFont="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5" xfId="0" applyFont="1" applyFill="1" applyBorder="1" applyAlignment="1">
      <alignment horizontal="center"/>
    </xf>
    <xf numFmtId="0" fontId="0" fillId="0" borderId="11" xfId="0" applyFont="1" applyFill="1" applyBorder="1" applyAlignment="1">
      <alignment horizontal="center"/>
    </xf>
    <xf numFmtId="0" fontId="0" fillId="0" borderId="14" xfId="0" applyFont="1" applyFill="1" applyBorder="1" applyAlignment="1">
      <alignment horizontal="center"/>
    </xf>
    <xf numFmtId="0" fontId="0" fillId="0" borderId="10" xfId="0" applyFont="1" applyFill="1" applyBorder="1" applyAlignment="1">
      <alignment horizontal="center"/>
    </xf>
    <xf numFmtId="0" fontId="3" fillId="0" borderId="10" xfId="0" applyFont="1" applyBorder="1" applyAlignment="1">
      <alignment horizontal="centerContinuous"/>
    </xf>
    <xf numFmtId="0" fontId="3" fillId="0" borderId="11" xfId="0" applyFont="1" applyBorder="1" applyAlignment="1">
      <alignment horizontal="centerContinuous"/>
    </xf>
    <xf numFmtId="0" fontId="3" fillId="0" borderId="12" xfId="0" applyFont="1" applyBorder="1" applyAlignment="1">
      <alignment horizontal="centerContinuous"/>
    </xf>
    <xf numFmtId="0" fontId="3" fillId="0" borderId="16" xfId="0" applyFont="1" applyBorder="1" applyAlignment="1">
      <alignment horizontal="centerContinuous"/>
    </xf>
    <xf numFmtId="0" fontId="3" fillId="0" borderId="18" xfId="0" applyFont="1" applyBorder="1" applyAlignment="1">
      <alignment horizontal="centerContinuous"/>
    </xf>
    <xf numFmtId="0" fontId="3" fillId="0" borderId="17" xfId="0" applyFont="1" applyBorder="1" applyAlignment="1">
      <alignment horizontal="centerContinuous"/>
    </xf>
    <xf numFmtId="0" fontId="0" fillId="0" borderId="0" xfId="0" applyFont="1" applyAlignment="1" quotePrefix="1">
      <alignment horizontal="center"/>
    </xf>
    <xf numFmtId="0" fontId="0" fillId="0" borderId="19" xfId="0" applyFont="1" applyBorder="1" applyAlignment="1">
      <alignment/>
    </xf>
    <xf numFmtId="0" fontId="69" fillId="0" borderId="0" xfId="53" applyAlignment="1" applyProtection="1">
      <alignment/>
      <protection/>
    </xf>
    <xf numFmtId="0" fontId="5" fillId="0" borderId="0" xfId="0" applyFont="1" applyAlignment="1">
      <alignment/>
    </xf>
    <xf numFmtId="0" fontId="2" fillId="0" borderId="20" xfId="0" applyFont="1" applyFill="1" applyBorder="1" applyAlignment="1" applyProtection="1">
      <alignment horizontal="left" vertical="center"/>
      <protection/>
    </xf>
    <xf numFmtId="0" fontId="2" fillId="0" borderId="10" xfId="0" applyFont="1" applyFill="1" applyBorder="1" applyAlignment="1" applyProtection="1">
      <alignment vertical="center"/>
      <protection/>
    </xf>
    <xf numFmtId="0" fontId="7" fillId="0" borderId="11" xfId="0" applyFont="1" applyFill="1" applyBorder="1" applyAlignment="1" applyProtection="1">
      <alignment horizontal="centerContinuous"/>
      <protection/>
    </xf>
    <xf numFmtId="0" fontId="2" fillId="0" borderId="12" xfId="0" applyFont="1" applyFill="1" applyBorder="1" applyAlignment="1" applyProtection="1">
      <alignment horizontal="right" vertical="center"/>
      <protection/>
    </xf>
    <xf numFmtId="0" fontId="7" fillId="0" borderId="21" xfId="0" applyFont="1" applyFill="1" applyBorder="1" applyAlignment="1" applyProtection="1">
      <alignment horizontal="centerContinuous"/>
      <protection/>
    </xf>
    <xf numFmtId="0" fontId="2" fillId="0" borderId="20" xfId="0" applyFont="1" applyFill="1" applyBorder="1" applyAlignment="1" applyProtection="1">
      <alignment horizontal="left"/>
      <protection/>
    </xf>
    <xf numFmtId="0" fontId="2" fillId="0" borderId="22" xfId="0" applyFont="1" applyFill="1" applyBorder="1" applyAlignment="1" applyProtection="1">
      <alignment horizontal="left"/>
      <protection/>
    </xf>
    <xf numFmtId="0" fontId="2" fillId="0" borderId="22" xfId="0" applyFont="1" applyFill="1" applyBorder="1" applyAlignment="1" applyProtection="1">
      <alignment horizontal="center"/>
      <protection/>
    </xf>
    <xf numFmtId="0" fontId="11" fillId="0" borderId="13" xfId="0" applyFont="1" applyFill="1" applyBorder="1" applyAlignment="1" applyProtection="1">
      <alignment horizontal="center"/>
      <protection/>
    </xf>
    <xf numFmtId="0" fontId="11" fillId="0" borderId="14" xfId="0" applyFont="1" applyFill="1" applyBorder="1" applyAlignment="1" applyProtection="1">
      <alignment horizontal="center"/>
      <protection/>
    </xf>
    <xf numFmtId="0" fontId="2" fillId="1" borderId="0" xfId="0" applyFont="1" applyFill="1" applyBorder="1" applyAlignment="1" applyProtection="1">
      <alignment/>
      <protection/>
    </xf>
    <xf numFmtId="0" fontId="2" fillId="0" borderId="11" xfId="0" applyFont="1" applyFill="1" applyBorder="1" applyAlignment="1" applyProtection="1">
      <alignment horizontal="right" vertical="center"/>
      <protection/>
    </xf>
    <xf numFmtId="0" fontId="7" fillId="0" borderId="10" xfId="0" applyFont="1" applyFill="1" applyBorder="1" applyAlignment="1" applyProtection="1">
      <alignment horizontal="centerContinuous"/>
      <protection/>
    </xf>
    <xf numFmtId="0" fontId="11" fillId="0" borderId="10" xfId="0" applyFont="1" applyBorder="1" applyAlignment="1" applyProtection="1">
      <alignment horizontal="centerContinuous"/>
      <protection/>
    </xf>
    <xf numFmtId="0" fontId="11" fillId="0" borderId="23" xfId="0" applyFont="1" applyBorder="1" applyAlignment="1" applyProtection="1">
      <alignment horizontal="centerContinuous"/>
      <protection/>
    </xf>
    <xf numFmtId="0" fontId="11" fillId="0" borderId="10" xfId="0" applyFont="1" applyBorder="1" applyAlignment="1" applyProtection="1">
      <alignment horizontal="center"/>
      <protection/>
    </xf>
    <xf numFmtId="0" fontId="11" fillId="0" borderId="13" xfId="0" applyFont="1" applyBorder="1" applyAlignment="1" applyProtection="1">
      <alignment horizontal="center"/>
      <protection/>
    </xf>
    <xf numFmtId="0" fontId="11" fillId="0" borderId="16" xfId="0" applyFont="1" applyFill="1" applyBorder="1" applyAlignment="1" applyProtection="1">
      <alignment horizontal="center"/>
      <protection/>
    </xf>
    <xf numFmtId="0" fontId="2" fillId="1" borderId="23" xfId="0" applyFont="1" applyFill="1" applyBorder="1" applyAlignment="1">
      <alignment/>
    </xf>
    <xf numFmtId="0" fontId="2" fillId="1" borderId="16" xfId="0" applyFont="1" applyFill="1" applyBorder="1" applyAlignment="1">
      <alignment/>
    </xf>
    <xf numFmtId="0" fontId="2" fillId="1" borderId="0" xfId="0" applyFont="1" applyFill="1" applyBorder="1" applyAlignment="1">
      <alignment/>
    </xf>
    <xf numFmtId="0" fontId="2" fillId="0" borderId="10" xfId="0" applyFont="1" applyFill="1" applyBorder="1" applyAlignment="1">
      <alignment horizontal="centerContinuous"/>
    </xf>
    <xf numFmtId="0" fontId="2" fillId="0" borderId="23" xfId="0" applyFont="1" applyFill="1" applyBorder="1" applyAlignment="1">
      <alignment horizontal="centerContinuous"/>
    </xf>
    <xf numFmtId="0" fontId="2" fillId="0" borderId="16" xfId="0" applyFont="1" applyFill="1" applyBorder="1" applyAlignment="1">
      <alignment horizontal="centerContinuous"/>
    </xf>
    <xf numFmtId="0" fontId="2" fillId="1" borderId="18" xfId="0" applyFont="1" applyFill="1" applyBorder="1" applyAlignment="1">
      <alignment/>
    </xf>
    <xf numFmtId="0" fontId="2" fillId="0" borderId="11" xfId="0" applyFont="1" applyFill="1" applyBorder="1" applyAlignment="1">
      <alignment horizontal="centerContinuous"/>
    </xf>
    <xf numFmtId="0" fontId="2" fillId="0" borderId="0" xfId="0" applyFont="1" applyFill="1" applyBorder="1" applyAlignment="1">
      <alignment horizontal="centerContinuous"/>
    </xf>
    <xf numFmtId="0" fontId="2" fillId="0" borderId="18" xfId="0" applyFont="1" applyFill="1" applyBorder="1" applyAlignment="1">
      <alignment horizontal="centerContinuous"/>
    </xf>
    <xf numFmtId="0" fontId="15" fillId="0" borderId="11" xfId="0" applyFont="1" applyFill="1" applyBorder="1" applyAlignment="1">
      <alignment horizontal="centerContinuous"/>
    </xf>
    <xf numFmtId="0" fontId="15" fillId="0" borderId="0" xfId="0" applyFont="1" applyFill="1" applyBorder="1" applyAlignment="1">
      <alignment horizontal="centerContinuous"/>
    </xf>
    <xf numFmtId="0" fontId="16" fillId="0" borderId="11" xfId="0" applyFont="1" applyFill="1" applyBorder="1" applyAlignment="1">
      <alignment horizontal="centerContinuous"/>
    </xf>
    <xf numFmtId="0" fontId="15" fillId="0" borderId="12" xfId="0" applyFont="1" applyFill="1" applyBorder="1" applyAlignment="1">
      <alignment horizontal="centerContinuous"/>
    </xf>
    <xf numFmtId="0" fontId="15" fillId="0" borderId="19" xfId="0" applyFont="1" applyFill="1" applyBorder="1" applyAlignment="1">
      <alignment horizontal="centerContinuous"/>
    </xf>
    <xf numFmtId="0" fontId="2" fillId="0" borderId="19" xfId="0" applyFont="1" applyFill="1" applyBorder="1" applyAlignment="1">
      <alignment horizontal="centerContinuous"/>
    </xf>
    <xf numFmtId="0" fontId="2" fillId="0" borderId="17" xfId="0" applyFont="1" applyFill="1" applyBorder="1" applyAlignment="1">
      <alignment horizontal="centerContinuous"/>
    </xf>
    <xf numFmtId="0" fontId="15" fillId="0" borderId="20" xfId="0" applyFont="1" applyBorder="1" applyAlignment="1">
      <alignment horizontal="centerContinuous"/>
    </xf>
    <xf numFmtId="0" fontId="2" fillId="0" borderId="22" xfId="0" applyFont="1" applyBorder="1" applyAlignment="1">
      <alignment horizontal="centerContinuous"/>
    </xf>
    <xf numFmtId="0" fontId="17" fillId="0" borderId="22" xfId="0" applyFont="1" applyBorder="1" applyAlignment="1">
      <alignment horizontal="centerContinuous"/>
    </xf>
    <xf numFmtId="0" fontId="17" fillId="0" borderId="24" xfId="0" applyFont="1" applyBorder="1" applyAlignment="1">
      <alignment horizontal="centerContinuous"/>
    </xf>
    <xf numFmtId="0" fontId="17" fillId="0" borderId="13" xfId="0" applyFont="1" applyFill="1" applyBorder="1" applyAlignment="1">
      <alignment horizontal="center"/>
    </xf>
    <xf numFmtId="0" fontId="17" fillId="0" borderId="10" xfId="0" applyFont="1" applyBorder="1" applyAlignment="1">
      <alignment horizontal="centerContinuous"/>
    </xf>
    <xf numFmtId="0" fontId="17" fillId="0" borderId="23" xfId="0" applyFont="1" applyBorder="1" applyAlignment="1">
      <alignment horizontal="centerContinuous"/>
    </xf>
    <xf numFmtId="0" fontId="17" fillId="0" borderId="16" xfId="0" applyFont="1" applyBorder="1" applyAlignment="1">
      <alignment horizontal="centerContinuous"/>
    </xf>
    <xf numFmtId="0" fontId="17" fillId="0" borderId="13" xfId="0" applyFont="1" applyBorder="1" applyAlignment="1">
      <alignment horizontal="center"/>
    </xf>
    <xf numFmtId="0" fontId="2" fillId="0" borderId="10" xfId="0" applyFont="1" applyFill="1" applyBorder="1" applyAlignment="1">
      <alignment horizontal="center"/>
    </xf>
    <xf numFmtId="0" fontId="7" fillId="0" borderId="10" xfId="0" applyFont="1" applyBorder="1" applyAlignment="1">
      <alignment horizontal="centerContinuous"/>
    </xf>
    <xf numFmtId="0" fontId="7" fillId="0" borderId="16" xfId="0" applyFont="1" applyBorder="1" applyAlignment="1">
      <alignment horizontal="center"/>
    </xf>
    <xf numFmtId="0" fontId="7" fillId="0" borderId="13" xfId="0" applyFont="1" applyBorder="1" applyAlignment="1">
      <alignment horizontal="center"/>
    </xf>
    <xf numFmtId="2" fontId="7" fillId="0" borderId="16" xfId="0" applyNumberFormat="1" applyFont="1" applyBorder="1" applyAlignment="1">
      <alignment horizontal="center"/>
    </xf>
    <xf numFmtId="0" fontId="2" fillId="0" borderId="11" xfId="0" applyFont="1" applyFill="1" applyBorder="1" applyAlignment="1">
      <alignment horizontal="center"/>
    </xf>
    <xf numFmtId="0" fontId="7" fillId="0" borderId="11" xfId="0" applyFont="1" applyBorder="1" applyAlignment="1">
      <alignment horizontal="centerContinuous"/>
    </xf>
    <xf numFmtId="0" fontId="7" fillId="0" borderId="18" xfId="0" applyFont="1" applyBorder="1" applyAlignment="1">
      <alignment horizontal="center"/>
    </xf>
    <xf numFmtId="0" fontId="7" fillId="0" borderId="14" xfId="0" applyFont="1" applyBorder="1" applyAlignment="1">
      <alignment horizontal="center"/>
    </xf>
    <xf numFmtId="2" fontId="7" fillId="0" borderId="18" xfId="0" applyNumberFormat="1" applyFont="1" applyBorder="1" applyAlignment="1">
      <alignment horizontal="center"/>
    </xf>
    <xf numFmtId="0" fontId="2" fillId="0" borderId="12" xfId="0" applyFont="1" applyFill="1" applyBorder="1" applyAlignment="1">
      <alignment horizontal="center"/>
    </xf>
    <xf numFmtId="0" fontId="7" fillId="0" borderId="12" xfId="0" applyFont="1" applyBorder="1" applyAlignment="1">
      <alignment horizontal="centerContinuous"/>
    </xf>
    <xf numFmtId="0" fontId="7" fillId="0" borderId="17" xfId="0" applyFont="1" applyBorder="1" applyAlignment="1">
      <alignment horizontal="center"/>
    </xf>
    <xf numFmtId="0" fontId="7" fillId="0" borderId="15" xfId="0" applyFont="1" applyBorder="1" applyAlignment="1">
      <alignment horizontal="center"/>
    </xf>
    <xf numFmtId="2" fontId="7" fillId="0" borderId="17" xfId="0" applyNumberFormat="1" applyFont="1" applyBorder="1" applyAlignment="1">
      <alignment horizontal="center"/>
    </xf>
    <xf numFmtId="2" fontId="7" fillId="0" borderId="14" xfId="0" applyNumberFormat="1" applyFont="1" applyBorder="1" applyAlignment="1">
      <alignment horizontal="center"/>
    </xf>
    <xf numFmtId="0" fontId="2" fillId="0" borderId="13" xfId="0" applyFont="1" applyFill="1" applyBorder="1" applyAlignment="1">
      <alignment horizontal="center"/>
    </xf>
    <xf numFmtId="0" fontId="7" fillId="0" borderId="23" xfId="0" applyFont="1" applyBorder="1" applyAlignment="1">
      <alignment horizontal="centerContinuous"/>
    </xf>
    <xf numFmtId="0" fontId="7" fillId="0" borderId="23" xfId="0" applyFont="1" applyBorder="1" applyAlignment="1">
      <alignment horizontal="center"/>
    </xf>
    <xf numFmtId="0" fontId="2" fillId="0" borderId="14" xfId="0" applyFont="1" applyFill="1" applyBorder="1" applyAlignment="1">
      <alignment horizontal="center"/>
    </xf>
    <xf numFmtId="0" fontId="7" fillId="0" borderId="0" xfId="0" applyFont="1" applyBorder="1" applyAlignment="1">
      <alignment horizontal="centerContinuous"/>
    </xf>
    <xf numFmtId="0" fontId="7" fillId="0" borderId="0" xfId="0" applyFont="1" applyBorder="1" applyAlignment="1">
      <alignment horizontal="center"/>
    </xf>
    <xf numFmtId="0" fontId="2" fillId="0" borderId="15" xfId="0" applyFont="1" applyFill="1" applyBorder="1" applyAlignment="1">
      <alignment horizontal="center"/>
    </xf>
    <xf numFmtId="0" fontId="7" fillId="0" borderId="19" xfId="0" applyFont="1" applyBorder="1" applyAlignment="1">
      <alignment horizontal="centerContinuous"/>
    </xf>
    <xf numFmtId="0" fontId="7" fillId="0" borderId="19" xfId="0" applyFont="1" applyBorder="1" applyAlignment="1">
      <alignment horizontal="center"/>
    </xf>
    <xf numFmtId="0" fontId="7" fillId="0" borderId="16" xfId="0" applyFont="1" applyBorder="1" applyAlignment="1">
      <alignment horizontal="centerContinuous"/>
    </xf>
    <xf numFmtId="0" fontId="7" fillId="0" borderId="18" xfId="0" applyFont="1" applyBorder="1" applyAlignment="1">
      <alignment horizontal="centerContinuous"/>
    </xf>
    <xf numFmtId="0" fontId="7" fillId="0" borderId="17" xfId="0" applyFont="1" applyBorder="1" applyAlignment="1">
      <alignment horizontal="centerContinuous"/>
    </xf>
    <xf numFmtId="0" fontId="2" fillId="1" borderId="19" xfId="0" applyFont="1" applyFill="1" applyBorder="1" applyAlignment="1">
      <alignment/>
    </xf>
    <xf numFmtId="0" fontId="15" fillId="0" borderId="20" xfId="0" applyFont="1" applyFill="1" applyBorder="1" applyAlignment="1">
      <alignment horizontal="centerContinuous"/>
    </xf>
    <xf numFmtId="0" fontId="2" fillId="1" borderId="18" xfId="0" applyFont="1" applyFill="1" applyBorder="1" applyAlignment="1">
      <alignment/>
    </xf>
    <xf numFmtId="0" fontId="17" fillId="0" borderId="25" xfId="0" applyFont="1" applyFill="1" applyBorder="1" applyAlignment="1">
      <alignment horizontal="center"/>
    </xf>
    <xf numFmtId="0" fontId="17" fillId="1" borderId="18" xfId="0" applyFont="1" applyFill="1" applyBorder="1" applyAlignment="1">
      <alignment/>
    </xf>
    <xf numFmtId="165" fontId="7" fillId="0" borderId="25" xfId="60" applyNumberFormat="1" applyFont="1" applyFill="1" applyBorder="1" applyAlignment="1">
      <alignment horizontal="center"/>
    </xf>
    <xf numFmtId="0" fontId="7" fillId="0" borderId="25" xfId="0" applyFont="1" applyFill="1" applyBorder="1" applyAlignment="1">
      <alignment horizontal="center"/>
    </xf>
    <xf numFmtId="0" fontId="7" fillId="1" borderId="18" xfId="0" applyFont="1" applyFill="1" applyBorder="1" applyAlignment="1">
      <alignment/>
    </xf>
    <xf numFmtId="166" fontId="7" fillId="0" borderId="25" xfId="0" applyNumberFormat="1" applyFont="1" applyFill="1" applyBorder="1" applyAlignment="1">
      <alignment horizontal="center"/>
    </xf>
    <xf numFmtId="166" fontId="7" fillId="1" borderId="18" xfId="0" applyNumberFormat="1" applyFont="1" applyFill="1" applyBorder="1" applyAlignment="1">
      <alignment/>
    </xf>
    <xf numFmtId="0" fontId="2" fillId="1" borderId="17" xfId="0" applyFont="1" applyFill="1" applyBorder="1" applyAlignment="1">
      <alignment/>
    </xf>
    <xf numFmtId="0" fontId="10" fillId="1" borderId="0" xfId="0" applyFont="1" applyFill="1" applyBorder="1" applyAlignment="1" applyProtection="1">
      <alignment horizontal="center"/>
      <protection/>
    </xf>
    <xf numFmtId="0" fontId="6" fillId="0" borderId="26" xfId="0" applyFont="1" applyFill="1" applyBorder="1" applyAlignment="1" applyProtection="1">
      <alignment horizontal="centerContinuous"/>
      <protection locked="0"/>
    </xf>
    <xf numFmtId="0" fontId="18" fillId="0" borderId="20" xfId="0" applyFont="1" applyFill="1" applyBorder="1" applyAlignment="1" applyProtection="1">
      <alignment horizontal="centerContinuous"/>
      <protection/>
    </xf>
    <xf numFmtId="0" fontId="14" fillId="0" borderId="12" xfId="0" applyFont="1" applyFill="1" applyBorder="1" applyAlignment="1" applyProtection="1">
      <alignment horizontal="centerContinuous"/>
      <protection/>
    </xf>
    <xf numFmtId="0" fontId="2" fillId="0" borderId="0" xfId="0" applyFont="1" applyAlignment="1" applyProtection="1">
      <alignment/>
      <protection locked="0"/>
    </xf>
    <xf numFmtId="167" fontId="19" fillId="0" borderId="27" xfId="42" applyNumberFormat="1" applyFont="1" applyBorder="1" applyAlignment="1" applyProtection="1">
      <alignment horizontal="center" vertical="center"/>
      <protection locked="0"/>
    </xf>
    <xf numFmtId="4" fontId="20" fillId="0" borderId="25" xfId="42" applyNumberFormat="1" applyFont="1" applyBorder="1" applyAlignment="1" applyProtection="1">
      <alignment horizontal="center" vertical="center"/>
      <protection locked="0"/>
    </xf>
    <xf numFmtId="2" fontId="20" fillId="0" borderId="25" xfId="42" applyNumberFormat="1"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167" fontId="19" fillId="0" borderId="29" xfId="42" applyNumberFormat="1"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167" fontId="19" fillId="0" borderId="31" xfId="42" applyNumberFormat="1" applyFont="1" applyBorder="1" applyAlignment="1" applyProtection="1">
      <alignment horizontal="center" vertical="center"/>
      <protection locked="0"/>
    </xf>
    <xf numFmtId="0" fontId="19" fillId="0" borderId="32"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33" xfId="0" applyFont="1" applyBorder="1" applyAlignment="1" applyProtection="1">
      <alignment horizontal="center" vertical="center" wrapText="1"/>
      <protection locked="0"/>
    </xf>
    <xf numFmtId="0" fontId="19" fillId="0" borderId="29" xfId="0" applyFont="1" applyBorder="1" applyAlignment="1" applyProtection="1">
      <alignment horizontal="center" vertical="center" wrapText="1"/>
      <protection locked="0"/>
    </xf>
    <xf numFmtId="0" fontId="19" fillId="0" borderId="34" xfId="0" applyFont="1" applyBorder="1" applyAlignment="1" applyProtection="1">
      <alignment horizontal="center" vertical="center" wrapText="1"/>
      <protection locked="0"/>
    </xf>
    <xf numFmtId="0" fontId="19" fillId="0" borderId="31" xfId="0" applyFont="1" applyBorder="1" applyAlignment="1" applyProtection="1">
      <alignment horizontal="center" vertical="center" wrapText="1"/>
      <protection locked="0"/>
    </xf>
    <xf numFmtId="0" fontId="19" fillId="0" borderId="35"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167" fontId="19" fillId="0" borderId="37" xfId="42" applyNumberFormat="1" applyFont="1" applyBorder="1" applyAlignment="1" applyProtection="1">
      <alignment horizontal="center" vertical="center"/>
      <protection locked="0"/>
    </xf>
    <xf numFmtId="0" fontId="19" fillId="0" borderId="37" xfId="0" applyFont="1" applyBorder="1" applyAlignment="1" applyProtection="1">
      <alignment horizontal="center" vertical="center"/>
      <protection locked="0"/>
    </xf>
    <xf numFmtId="168" fontId="20" fillId="0" borderId="25" xfId="42" applyNumberFormat="1"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38" xfId="0" applyFont="1" applyBorder="1" applyAlignment="1" applyProtection="1">
      <alignment horizontal="center" vertical="center"/>
      <protection locked="0"/>
    </xf>
    <xf numFmtId="0" fontId="2" fillId="1" borderId="10" xfId="0" applyFont="1" applyFill="1" applyBorder="1" applyAlignment="1" applyProtection="1">
      <alignment/>
      <protection/>
    </xf>
    <xf numFmtId="0" fontId="2" fillId="1" borderId="23" xfId="0" applyFont="1" applyFill="1" applyBorder="1" applyAlignment="1" applyProtection="1">
      <alignment/>
      <protection/>
    </xf>
    <xf numFmtId="0" fontId="2" fillId="1" borderId="23" xfId="0" applyFont="1" applyFill="1" applyBorder="1" applyAlignment="1" applyProtection="1">
      <alignment horizontal="center"/>
      <protection/>
    </xf>
    <xf numFmtId="0" fontId="2" fillId="1" borderId="16" xfId="0" applyFont="1" applyFill="1" applyBorder="1" applyAlignment="1" applyProtection="1">
      <alignment/>
      <protection/>
    </xf>
    <xf numFmtId="0" fontId="2" fillId="1" borderId="11" xfId="0" applyFont="1" applyFill="1" applyBorder="1" applyAlignment="1" applyProtection="1">
      <alignment/>
      <protection/>
    </xf>
    <xf numFmtId="0" fontId="2" fillId="1" borderId="18" xfId="0" applyFont="1" applyFill="1" applyBorder="1" applyAlignment="1" applyProtection="1">
      <alignment/>
      <protection/>
    </xf>
    <xf numFmtId="0" fontId="7" fillId="1" borderId="11" xfId="0" applyFont="1" applyFill="1" applyBorder="1" applyAlignment="1" applyProtection="1">
      <alignment/>
      <protection/>
    </xf>
    <xf numFmtId="0" fontId="2" fillId="0" borderId="0" xfId="0" applyFont="1" applyBorder="1" applyAlignment="1" applyProtection="1">
      <alignment/>
      <protection/>
    </xf>
    <xf numFmtId="0" fontId="7" fillId="1" borderId="0" xfId="0" applyFont="1" applyFill="1" applyBorder="1" applyAlignment="1" applyProtection="1">
      <alignment/>
      <protection/>
    </xf>
    <xf numFmtId="0" fontId="14" fillId="1" borderId="11" xfId="0" applyFont="1" applyFill="1" applyBorder="1" applyAlignment="1" applyProtection="1">
      <alignment/>
      <protection/>
    </xf>
    <xf numFmtId="0" fontId="11" fillId="0" borderId="16" xfId="0" applyFont="1" applyBorder="1" applyAlignment="1" applyProtection="1">
      <alignment horizontal="centerContinuous"/>
      <protection/>
    </xf>
    <xf numFmtId="0" fontId="18" fillId="0" borderId="22" xfId="0" applyFont="1" applyBorder="1" applyAlignment="1" applyProtection="1">
      <alignment horizontal="centerContinuous"/>
      <protection/>
    </xf>
    <xf numFmtId="0" fontId="18" fillId="0" borderId="39" xfId="0" applyFont="1" applyBorder="1" applyAlignment="1" applyProtection="1">
      <alignment horizontal="centerContinuous"/>
      <protection/>
    </xf>
    <xf numFmtId="0" fontId="2" fillId="0" borderId="19" xfId="0" applyFont="1" applyBorder="1" applyAlignment="1" applyProtection="1">
      <alignment horizontal="centerContinuous"/>
      <protection/>
    </xf>
    <xf numFmtId="0" fontId="2" fillId="0" borderId="17" xfId="0" applyFont="1" applyBorder="1" applyAlignment="1" applyProtection="1">
      <alignment horizontal="centerContinuous"/>
      <protection/>
    </xf>
    <xf numFmtId="0" fontId="2" fillId="0" borderId="22" xfId="0" applyFont="1" applyBorder="1" applyAlignment="1" applyProtection="1">
      <alignment/>
      <protection/>
    </xf>
    <xf numFmtId="0" fontId="2" fillId="0" borderId="40" xfId="0" applyFont="1" applyBorder="1" applyAlignment="1" applyProtection="1">
      <alignment horizontal="centerContinuous"/>
      <protection locked="0"/>
    </xf>
    <xf numFmtId="0" fontId="2" fillId="0" borderId="41" xfId="0" applyFont="1" applyBorder="1" applyAlignment="1" applyProtection="1">
      <alignment horizontal="centerContinuous"/>
      <protection locked="0"/>
    </xf>
    <xf numFmtId="0" fontId="77" fillId="0" borderId="32" xfId="0" applyFont="1" applyBorder="1" applyAlignment="1" applyProtection="1">
      <alignment horizontal="left" vertical="center"/>
      <protection locked="0"/>
    </xf>
    <xf numFmtId="0" fontId="77" fillId="0" borderId="32" xfId="0" applyFont="1" applyBorder="1" applyAlignment="1" applyProtection="1">
      <alignment horizontal="left" vertical="center" wrapText="1"/>
      <protection locked="0"/>
    </xf>
    <xf numFmtId="166" fontId="77" fillId="0" borderId="27" xfId="0" applyNumberFormat="1" applyFont="1" applyBorder="1" applyAlignment="1" applyProtection="1">
      <alignment horizontal="right" vertical="center"/>
      <protection locked="0"/>
    </xf>
    <xf numFmtId="0" fontId="77" fillId="0" borderId="27" xfId="0" applyFont="1" applyBorder="1" applyAlignment="1" applyProtection="1">
      <alignment horizontal="left" vertical="center" wrapText="1"/>
      <protection locked="0"/>
    </xf>
    <xf numFmtId="0" fontId="77" fillId="0" borderId="42" xfId="0" applyFont="1" applyBorder="1" applyAlignment="1" applyProtection="1">
      <alignment horizontal="center" vertical="center"/>
      <protection locked="0"/>
    </xf>
    <xf numFmtId="0" fontId="77" fillId="0" borderId="43" xfId="0" applyFont="1" applyBorder="1" applyAlignment="1" applyProtection="1">
      <alignment horizontal="center" vertical="center"/>
      <protection locked="0"/>
    </xf>
    <xf numFmtId="167" fontId="77" fillId="0" borderId="27" xfId="42" applyNumberFormat="1" applyFont="1" applyBorder="1" applyAlignment="1" applyProtection="1">
      <alignment horizontal="center" vertical="center"/>
      <protection locked="0"/>
    </xf>
    <xf numFmtId="0" fontId="77" fillId="0" borderId="44" xfId="0" applyFont="1" applyBorder="1" applyAlignment="1" applyProtection="1">
      <alignment horizontal="center" vertical="center"/>
      <protection locked="0"/>
    </xf>
    <xf numFmtId="0" fontId="77" fillId="0" borderId="33" xfId="0" applyFont="1" applyBorder="1" applyAlignment="1" applyProtection="1">
      <alignment horizontal="left" vertical="center"/>
      <protection locked="0"/>
    </xf>
    <xf numFmtId="0" fontId="77" fillId="0" borderId="29" xfId="0" applyFont="1" applyBorder="1" applyAlignment="1" applyProtection="1">
      <alignment horizontal="left" vertical="center" wrapText="1"/>
      <protection locked="0"/>
    </xf>
    <xf numFmtId="166" fontId="77" fillId="0" borderId="29" xfId="0" applyNumberFormat="1" applyFont="1" applyBorder="1" applyAlignment="1" applyProtection="1">
      <alignment horizontal="right" vertical="center"/>
      <protection locked="0"/>
    </xf>
    <xf numFmtId="0" fontId="77" fillId="0" borderId="28" xfId="0" applyFont="1" applyBorder="1" applyAlignment="1" applyProtection="1">
      <alignment horizontal="center" vertical="center"/>
      <protection locked="0"/>
    </xf>
    <xf numFmtId="0" fontId="77" fillId="0" borderId="29" xfId="0" applyFont="1" applyBorder="1" applyAlignment="1" applyProtection="1">
      <alignment horizontal="center" vertical="center"/>
      <protection locked="0"/>
    </xf>
    <xf numFmtId="0" fontId="77" fillId="0" borderId="45" xfId="0" applyFont="1" applyBorder="1" applyAlignment="1" applyProtection="1">
      <alignment horizontal="center" vertical="center"/>
      <protection locked="0"/>
    </xf>
    <xf numFmtId="167" fontId="77" fillId="0" borderId="29" xfId="42" applyNumberFormat="1" applyFont="1" applyBorder="1" applyAlignment="1" applyProtection="1">
      <alignment horizontal="center" vertical="center"/>
      <protection locked="0"/>
    </xf>
    <xf numFmtId="0" fontId="77" fillId="0" borderId="46" xfId="0" applyFont="1" applyBorder="1" applyAlignment="1" applyProtection="1">
      <alignment horizontal="center" vertical="center"/>
      <protection locked="0"/>
    </xf>
    <xf numFmtId="0" fontId="77" fillId="0" borderId="34" xfId="0" applyFont="1" applyBorder="1" applyAlignment="1" applyProtection="1">
      <alignment horizontal="left" vertical="center"/>
      <protection locked="0"/>
    </xf>
    <xf numFmtId="0" fontId="77" fillId="0" borderId="31" xfId="0" applyFont="1" applyBorder="1" applyAlignment="1" applyProtection="1">
      <alignment horizontal="left" vertical="center" wrapText="1"/>
      <protection locked="0"/>
    </xf>
    <xf numFmtId="166" fontId="77" fillId="0" borderId="31" xfId="0" applyNumberFormat="1" applyFont="1" applyBorder="1" applyAlignment="1" applyProtection="1">
      <alignment horizontal="right" vertical="center"/>
      <protection locked="0"/>
    </xf>
    <xf numFmtId="0" fontId="77" fillId="0" borderId="30" xfId="0" applyFont="1" applyBorder="1" applyAlignment="1" applyProtection="1">
      <alignment horizontal="center" vertical="center"/>
      <protection locked="0"/>
    </xf>
    <xf numFmtId="0" fontId="77" fillId="0" borderId="31" xfId="0" applyFont="1" applyBorder="1" applyAlignment="1" applyProtection="1">
      <alignment horizontal="center" vertical="center"/>
      <protection locked="0"/>
    </xf>
    <xf numFmtId="0" fontId="77" fillId="0" borderId="47" xfId="0" applyFont="1" applyBorder="1" applyAlignment="1" applyProtection="1">
      <alignment horizontal="center" vertical="center"/>
      <protection locked="0"/>
    </xf>
    <xf numFmtId="167" fontId="77" fillId="0" borderId="31" xfId="42" applyNumberFormat="1" applyFont="1" applyBorder="1" applyAlignment="1" applyProtection="1">
      <alignment horizontal="center" vertical="center"/>
      <protection locked="0"/>
    </xf>
    <xf numFmtId="0" fontId="77" fillId="0" borderId="40" xfId="0" applyFont="1" applyBorder="1" applyAlignment="1" applyProtection="1">
      <alignment horizontal="center" vertical="center"/>
      <protection locked="0"/>
    </xf>
    <xf numFmtId="0" fontId="2" fillId="1" borderId="11" xfId="0" applyFont="1" applyFill="1" applyBorder="1" applyAlignment="1" applyProtection="1">
      <alignment/>
      <protection locked="0"/>
    </xf>
    <xf numFmtId="0" fontId="2" fillId="1" borderId="18" xfId="0" applyFont="1" applyFill="1" applyBorder="1" applyAlignment="1" applyProtection="1">
      <alignment/>
      <protection locked="0"/>
    </xf>
    <xf numFmtId="0" fontId="14" fillId="0" borderId="0" xfId="0" applyFont="1" applyAlignment="1" applyProtection="1">
      <alignment/>
      <protection locked="0"/>
    </xf>
    <xf numFmtId="0" fontId="20" fillId="0" borderId="24" xfId="0" applyFont="1" applyBorder="1" applyAlignment="1" applyProtection="1">
      <alignment horizontal="center" vertical="center"/>
      <protection locked="0"/>
    </xf>
    <xf numFmtId="43" fontId="20" fillId="0" borderId="25" xfId="0" applyNumberFormat="1" applyFont="1" applyBorder="1" applyAlignment="1" applyProtection="1">
      <alignment horizontal="center" vertical="center"/>
      <protection locked="0"/>
    </xf>
    <xf numFmtId="2" fontId="20" fillId="0" borderId="25" xfId="0" applyNumberFormat="1" applyFont="1" applyBorder="1" applyAlignment="1" applyProtection="1">
      <alignment horizontal="center" vertical="center"/>
      <protection locked="0"/>
    </xf>
    <xf numFmtId="169" fontId="20" fillId="0" borderId="25" xfId="0" applyNumberFormat="1" applyFont="1" applyBorder="1" applyAlignment="1" applyProtection="1">
      <alignment horizontal="center" vertical="center"/>
      <protection locked="0"/>
    </xf>
    <xf numFmtId="0" fontId="2" fillId="0" borderId="0" xfId="0" applyFont="1" applyAlignment="1" applyProtection="1" quotePrefix="1">
      <alignment/>
      <protection locked="0"/>
    </xf>
    <xf numFmtId="0" fontId="2" fillId="1" borderId="14" xfId="0" applyFont="1" applyFill="1" applyBorder="1" applyAlignment="1" applyProtection="1">
      <alignment/>
      <protection locked="0"/>
    </xf>
    <xf numFmtId="0" fontId="14" fillId="1" borderId="18" xfId="0" applyFont="1" applyFill="1" applyBorder="1" applyAlignment="1" applyProtection="1">
      <alignment/>
      <protection locked="0"/>
    </xf>
    <xf numFmtId="0" fontId="20" fillId="0" borderId="17" xfId="0" applyFont="1" applyFill="1" applyBorder="1" applyAlignment="1" applyProtection="1">
      <alignment horizontal="center" vertical="center"/>
      <protection locked="0"/>
    </xf>
    <xf numFmtId="164" fontId="20" fillId="0" borderId="25" xfId="0" applyNumberFormat="1" applyFont="1" applyBorder="1" applyAlignment="1" applyProtection="1">
      <alignment vertical="center"/>
      <protection locked="0"/>
    </xf>
    <xf numFmtId="43" fontId="20" fillId="0" borderId="25" xfId="0" applyNumberFormat="1" applyFont="1" applyFill="1" applyBorder="1" applyAlignment="1" applyProtection="1">
      <alignment horizontal="center" vertical="center"/>
      <protection locked="0"/>
    </xf>
    <xf numFmtId="2" fontId="20" fillId="0" borderId="15" xfId="0" applyNumberFormat="1"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2" fontId="20" fillId="0" borderId="25" xfId="0" applyNumberFormat="1" applyFont="1" applyFill="1" applyBorder="1" applyAlignment="1" applyProtection="1">
      <alignment horizontal="center" vertical="center"/>
      <protection locked="0"/>
    </xf>
    <xf numFmtId="0" fontId="77" fillId="0" borderId="48" xfId="0" applyNumberFormat="1" applyFont="1" applyBorder="1" applyAlignment="1" applyProtection="1">
      <alignment horizontal="left" vertical="center" wrapText="1" indent="1"/>
      <protection locked="0"/>
    </xf>
    <xf numFmtId="0" fontId="77" fillId="0" borderId="48" xfId="0" applyNumberFormat="1" applyFont="1" applyFill="1" applyBorder="1" applyAlignment="1" applyProtection="1">
      <alignment horizontal="left" vertical="center" wrapText="1" indent="1"/>
      <protection locked="0"/>
    </xf>
    <xf numFmtId="0" fontId="22" fillId="0" borderId="20" xfId="0" applyFont="1" applyFill="1" applyBorder="1" applyAlignment="1">
      <alignment horizontal="centerContinuous"/>
    </xf>
    <xf numFmtId="0" fontId="2" fillId="0" borderId="20" xfId="0" applyFont="1" applyBorder="1" applyAlignment="1">
      <alignment horizontal="centerContinuous"/>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0" fillId="0" borderId="0" xfId="0" applyFont="1" applyAlignment="1">
      <alignment/>
    </xf>
    <xf numFmtId="2" fontId="3" fillId="0" borderId="16" xfId="0" applyNumberFormat="1" applyFont="1" applyFill="1" applyBorder="1" applyAlignment="1">
      <alignment horizontal="center"/>
    </xf>
    <xf numFmtId="2" fontId="3" fillId="0" borderId="18" xfId="0" applyNumberFormat="1" applyFont="1" applyFill="1" applyBorder="1" applyAlignment="1">
      <alignment horizontal="center"/>
    </xf>
    <xf numFmtId="2" fontId="3" fillId="0" borderId="17" xfId="0" applyNumberFormat="1" applyFont="1" applyFill="1" applyBorder="1" applyAlignment="1">
      <alignment horizontal="center"/>
    </xf>
    <xf numFmtId="2" fontId="3" fillId="0" borderId="16" xfId="57" applyNumberFormat="1" applyFont="1" applyFill="1" applyBorder="1" applyAlignment="1">
      <alignment horizontal="center"/>
      <protection/>
    </xf>
    <xf numFmtId="2" fontId="3" fillId="0" borderId="18" xfId="57" applyNumberFormat="1" applyFont="1" applyFill="1" applyBorder="1" applyAlignment="1">
      <alignment horizontal="center"/>
      <protection/>
    </xf>
    <xf numFmtId="171" fontId="3" fillId="0" borderId="16" xfId="0" applyNumberFormat="1" applyFont="1" applyFill="1" applyBorder="1" applyAlignment="1">
      <alignment horizontal="center"/>
    </xf>
    <xf numFmtId="171" fontId="3" fillId="0" borderId="18" xfId="0" applyNumberFormat="1" applyFont="1" applyFill="1" applyBorder="1" applyAlignment="1">
      <alignment horizontal="center"/>
    </xf>
    <xf numFmtId="171" fontId="3" fillId="0" borderId="17" xfId="0" applyNumberFormat="1" applyFont="1" applyFill="1" applyBorder="1" applyAlignment="1">
      <alignment horizontal="center"/>
    </xf>
    <xf numFmtId="2" fontId="3" fillId="0" borderId="23" xfId="0" applyNumberFormat="1" applyFont="1" applyBorder="1" applyAlignment="1">
      <alignment horizontal="center"/>
    </xf>
    <xf numFmtId="2" fontId="3" fillId="0" borderId="0" xfId="0" applyNumberFormat="1" applyFont="1" applyBorder="1" applyAlignment="1">
      <alignment horizontal="center"/>
    </xf>
    <xf numFmtId="2" fontId="3" fillId="0" borderId="19" xfId="0" applyNumberFormat="1" applyFont="1" applyBorder="1" applyAlignment="1">
      <alignment horizontal="center"/>
    </xf>
    <xf numFmtId="0" fontId="0" fillId="0" borderId="49" xfId="0" applyFont="1" applyBorder="1" applyAlignment="1">
      <alignment/>
    </xf>
    <xf numFmtId="0" fontId="0" fillId="0" borderId="0" xfId="0" applyFont="1" applyFill="1" applyAlignment="1" quotePrefix="1">
      <alignment horizontal="center"/>
    </xf>
    <xf numFmtId="0" fontId="78" fillId="0" borderId="0" xfId="0" applyFont="1" applyAlignment="1">
      <alignment/>
    </xf>
    <xf numFmtId="171" fontId="23" fillId="0" borderId="16" xfId="0" applyNumberFormat="1" applyFont="1" applyFill="1" applyBorder="1" applyAlignment="1">
      <alignment horizontal="center"/>
    </xf>
    <xf numFmtId="171" fontId="23" fillId="0" borderId="18" xfId="0" applyNumberFormat="1" applyFont="1" applyFill="1" applyBorder="1" applyAlignment="1">
      <alignment horizontal="center"/>
    </xf>
    <xf numFmtId="171" fontId="23" fillId="0" borderId="17" xfId="0" applyNumberFormat="1" applyFont="1" applyFill="1" applyBorder="1" applyAlignment="1">
      <alignment horizontal="center"/>
    </xf>
    <xf numFmtId="0" fontId="12" fillId="0"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protection/>
    </xf>
    <xf numFmtId="0" fontId="2" fillId="33" borderId="13" xfId="0" applyFont="1" applyFill="1" applyBorder="1" applyAlignment="1" applyProtection="1">
      <alignment/>
      <protection/>
    </xf>
    <xf numFmtId="0" fontId="20" fillId="0" borderId="13" xfId="0" applyFont="1" applyFill="1" applyBorder="1" applyAlignment="1" applyProtection="1">
      <alignment horizontal="center"/>
      <protection/>
    </xf>
    <xf numFmtId="0" fontId="21" fillId="0" borderId="13" xfId="0" applyFont="1" applyFill="1" applyBorder="1" applyAlignment="1" applyProtection="1">
      <alignment horizontal="center"/>
      <protection/>
    </xf>
    <xf numFmtId="2" fontId="3" fillId="0" borderId="50" xfId="0" applyNumberFormat="1" applyFont="1" applyBorder="1" applyAlignment="1">
      <alignment horizontal="center"/>
    </xf>
    <xf numFmtId="2" fontId="3" fillId="0" borderId="51" xfId="0" applyNumberFormat="1" applyFont="1" applyBorder="1" applyAlignment="1">
      <alignment horizontal="center"/>
    </xf>
    <xf numFmtId="2" fontId="3" fillId="0" borderId="52" xfId="0" applyNumberFormat="1" applyFont="1" applyBorder="1" applyAlignment="1">
      <alignment horizontal="center"/>
    </xf>
    <xf numFmtId="2" fontId="3" fillId="0" borderId="16" xfId="57" applyNumberFormat="1" applyFont="1" applyBorder="1" applyAlignment="1">
      <alignment horizontal="center"/>
      <protection/>
    </xf>
    <xf numFmtId="2" fontId="3" fillId="0" borderId="18" xfId="57" applyNumberFormat="1" applyFont="1" applyBorder="1" applyAlignment="1">
      <alignment horizontal="center"/>
      <protection/>
    </xf>
    <xf numFmtId="2" fontId="3" fillId="0" borderId="17" xfId="57" applyNumberFormat="1" applyFont="1" applyBorder="1" applyAlignment="1">
      <alignment horizontal="center"/>
      <protection/>
    </xf>
    <xf numFmtId="2" fontId="3" fillId="0" borderId="14" xfId="57" applyNumberFormat="1" applyFont="1" applyBorder="1" applyAlignment="1">
      <alignment horizontal="center"/>
      <protection/>
    </xf>
    <xf numFmtId="164" fontId="79" fillId="0" borderId="16" xfId="0" applyNumberFormat="1" applyFont="1" applyBorder="1" applyAlignment="1">
      <alignment/>
    </xf>
    <xf numFmtId="164" fontId="79" fillId="0" borderId="18" xfId="0" applyNumberFormat="1" applyFont="1" applyBorder="1" applyAlignment="1">
      <alignment/>
    </xf>
    <xf numFmtId="164" fontId="79" fillId="0" borderId="17" xfId="0" applyNumberFormat="1" applyFont="1" applyBorder="1" applyAlignment="1">
      <alignment/>
    </xf>
    <xf numFmtId="14" fontId="7" fillId="0" borderId="12" xfId="0" applyNumberFormat="1" applyFont="1" applyBorder="1" applyAlignment="1">
      <alignment horizontal="centerContinuous"/>
    </xf>
    <xf numFmtId="0" fontId="11" fillId="0" borderId="14" xfId="0" applyFont="1" applyBorder="1" applyAlignment="1" applyProtection="1">
      <alignment horizontal="center" vertical="center" wrapText="1"/>
      <protection/>
    </xf>
    <xf numFmtId="0" fontId="11" fillId="0" borderId="53" xfId="0" applyFont="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11" fillId="0" borderId="15" xfId="0" applyFont="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14" fontId="8" fillId="0" borderId="43" xfId="0" applyNumberFormat="1" applyFont="1" applyFill="1" applyBorder="1" applyAlignment="1" applyProtection="1">
      <alignment horizontal="center"/>
      <protection locked="0"/>
    </xf>
    <xf numFmtId="0" fontId="2" fillId="0" borderId="44" xfId="0" applyFont="1" applyBorder="1" applyAlignment="1" applyProtection="1">
      <alignment horizontal="center"/>
      <protection locked="0"/>
    </xf>
    <xf numFmtId="0" fontId="2" fillId="0" borderId="54" xfId="0" applyFont="1" applyBorder="1" applyAlignment="1" applyProtection="1">
      <alignment horizontal="center"/>
      <protection locked="0"/>
    </xf>
    <xf numFmtId="0" fontId="6" fillId="0" borderId="43" xfId="0" applyFont="1" applyFill="1" applyBorder="1" applyAlignment="1" applyProtection="1">
      <alignment horizontal="center"/>
      <protection locked="0"/>
    </xf>
    <xf numFmtId="0" fontId="9" fillId="0" borderId="43" xfId="0" applyFont="1" applyFill="1" applyBorder="1" applyAlignment="1" applyProtection="1">
      <alignment horizontal="center"/>
      <protection locked="0"/>
    </xf>
    <xf numFmtId="0" fontId="8" fillId="0" borderId="43" xfId="0" applyFont="1" applyFill="1" applyBorder="1" applyAlignment="1" applyProtection="1">
      <alignment horizontal="center"/>
      <protection locked="0"/>
    </xf>
    <xf numFmtId="0" fontId="11" fillId="0" borderId="14"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55" xfId="0" applyFont="1" applyBorder="1" applyAlignment="1" applyProtection="1">
      <alignment horizontal="center" vertical="center" wrapText="1"/>
      <protection/>
    </xf>
    <xf numFmtId="0" fontId="11" fillId="0" borderId="18" xfId="0" applyFont="1" applyBorder="1" applyAlignment="1" applyProtection="1">
      <alignment horizontal="center" vertical="center" wrapText="1"/>
      <protection/>
    </xf>
    <xf numFmtId="0" fontId="11" fillId="0" borderId="56" xfId="0" applyFont="1" applyBorder="1" applyAlignment="1" applyProtection="1">
      <alignment horizontal="center" vertical="center" wrapText="1"/>
      <protection/>
    </xf>
    <xf numFmtId="0" fontId="11" fillId="0" borderId="57" xfId="0" applyFont="1" applyBorder="1" applyAlignment="1" applyProtection="1">
      <alignment horizontal="center" vertical="center" wrapText="1"/>
      <protection/>
    </xf>
    <xf numFmtId="14" fontId="8" fillId="0" borderId="58" xfId="0" applyNumberFormat="1" applyFont="1" applyFill="1" applyBorder="1" applyAlignment="1" applyProtection="1">
      <alignment horizontal="center"/>
      <protection locked="0"/>
    </xf>
    <xf numFmtId="0" fontId="2" fillId="0" borderId="40" xfId="0" applyFont="1" applyBorder="1" applyAlignment="1" applyProtection="1">
      <alignment horizontal="center"/>
      <protection locked="0"/>
    </xf>
    <xf numFmtId="0" fontId="2" fillId="0" borderId="41" xfId="0" applyFont="1" applyBorder="1" applyAlignment="1" applyProtection="1">
      <alignment horizontal="center"/>
      <protection locked="0"/>
    </xf>
    <xf numFmtId="165" fontId="13" fillId="0" borderId="43" xfId="60" applyNumberFormat="1" applyFont="1" applyFill="1" applyBorder="1" applyAlignment="1" applyProtection="1">
      <alignment horizontal="center"/>
      <protection/>
    </xf>
    <xf numFmtId="0" fontId="2" fillId="0" borderId="44" xfId="0" applyFont="1" applyBorder="1" applyAlignment="1" applyProtection="1">
      <alignment horizontal="center"/>
      <protection/>
    </xf>
    <xf numFmtId="0" fontId="2" fillId="0" borderId="54" xfId="0" applyFont="1" applyBorder="1" applyAlignment="1" applyProtection="1">
      <alignment horizontal="center"/>
      <protection/>
    </xf>
    <xf numFmtId="0" fontId="9" fillId="0" borderId="58" xfId="0" applyFont="1" applyFill="1" applyBorder="1" applyAlignment="1" applyProtection="1">
      <alignment horizontal="center"/>
      <protection locked="0"/>
    </xf>
    <xf numFmtId="0" fontId="8" fillId="0" borderId="58" xfId="0" applyFon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37</xdr:row>
      <xdr:rowOff>133350</xdr:rowOff>
    </xdr:from>
    <xdr:to>
      <xdr:col>8</xdr:col>
      <xdr:colOff>0</xdr:colOff>
      <xdr:row>46</xdr:row>
      <xdr:rowOff>95250</xdr:rowOff>
    </xdr:to>
    <xdr:sp>
      <xdr:nvSpPr>
        <xdr:cNvPr id="1" name="Text Box 1"/>
        <xdr:cNvSpPr txBox="1">
          <a:spLocks noChangeArrowheads="1"/>
        </xdr:cNvSpPr>
      </xdr:nvSpPr>
      <xdr:spPr>
        <a:xfrm>
          <a:off x="381000" y="6715125"/>
          <a:ext cx="5581650" cy="1457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FORMULA FOR CRITICAL ACCIDENT RATES:  
</a:t>
          </a:r>
          <a:r>
            <a:rPr lang="en-US" cap="none" sz="1000" b="1" i="0" u="none" baseline="0">
              <a:solidFill>
                <a:srgbClr val="000000"/>
              </a:solidFill>
              <a:latin typeface="Arial"/>
              <a:ea typeface="Arial"/>
              <a:cs typeface="Arial"/>
            </a:rPr>
            <a:t>                                    Rc = Ra + k * (square root(Ra/M)) + 1/(2M)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Rc = The critical accident rate
</a:t>
          </a:r>
          <a:r>
            <a:rPr lang="en-US" cap="none" sz="1000" b="0" i="0" u="none" baseline="0">
              <a:solidFill>
                <a:srgbClr val="000000"/>
              </a:solidFill>
              <a:latin typeface="Arial"/>
              <a:ea typeface="Arial"/>
              <a:cs typeface="Arial"/>
            </a:rPr>
            <a:t>           Ra = The statewide average accident rate for the intersection or segment type
</a:t>
          </a:r>
          <a:r>
            <a:rPr lang="en-US" cap="none" sz="1000" b="0" i="0" u="none" baseline="0">
              <a:solidFill>
                <a:srgbClr val="000000"/>
              </a:solidFill>
              <a:latin typeface="Arial"/>
              <a:ea typeface="Arial"/>
              <a:cs typeface="Arial"/>
            </a:rPr>
            <a:t>           k   = A probability constant (see table below)
</a:t>
          </a:r>
          <a:r>
            <a:rPr lang="en-US" cap="none" sz="1000" b="0" i="0" u="none" baseline="0">
              <a:solidFill>
                <a:srgbClr val="000000"/>
              </a:solidFill>
              <a:latin typeface="Arial"/>
              <a:ea typeface="Arial"/>
              <a:cs typeface="Arial"/>
            </a:rPr>
            <a:t>           M  = Millions of entering vehicles (</a:t>
          </a:r>
          <a:r>
            <a:rPr lang="en-US" cap="none" sz="800" b="0" i="0" u="none" baseline="0">
              <a:solidFill>
                <a:srgbClr val="000000"/>
              </a:solidFill>
              <a:latin typeface="Arial"/>
              <a:ea typeface="Arial"/>
              <a:cs typeface="Arial"/>
            </a:rPr>
            <a:t>intersections</a:t>
          </a:r>
          <a:r>
            <a:rPr lang="en-US" cap="none" sz="1000" b="0" i="0" u="none" baseline="0">
              <a:solidFill>
                <a:srgbClr val="000000"/>
              </a:solidFill>
              <a:latin typeface="Arial"/>
              <a:ea typeface="Arial"/>
              <a:cs typeface="Arial"/>
            </a:rPr>
            <a:t>) or Millions of vehicle-miles (</a:t>
          </a:r>
          <a:r>
            <a:rPr lang="en-US" cap="none" sz="800" b="0" i="0" u="none" baseline="0">
              <a:solidFill>
                <a:srgbClr val="000000"/>
              </a:solidFill>
              <a:latin typeface="Arial"/>
              <a:ea typeface="Arial"/>
              <a:cs typeface="Arial"/>
            </a:rPr>
            <a:t>segments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Source:  NorthWestern University Traffic Institute Workbook for the "Identification and Treatment of 
</a:t>
          </a:r>
          <a:r>
            <a:rPr lang="en-US" cap="none" sz="900" b="0" i="1" u="none" baseline="0">
              <a:solidFill>
                <a:srgbClr val="000000"/>
              </a:solidFill>
              <a:latin typeface="Arial"/>
              <a:ea typeface="Arial"/>
              <a:cs typeface="Arial"/>
            </a:rPr>
            <a:t>High Hazard Locations" Course given in Anchorage 2/24 - 2/26/98.  Page 8 of Section 3442 RV 
</a:t>
          </a:r>
          <a:r>
            <a:rPr lang="en-US" cap="none" sz="900" b="0" i="1" u="none" baseline="0">
              <a:solidFill>
                <a:srgbClr val="000000"/>
              </a:solidFill>
              <a:latin typeface="Arial"/>
              <a:ea typeface="Arial"/>
              <a:cs typeface="Arial"/>
            </a:rPr>
            <a:t>(Tab 5).  Originally from NCHRP 162.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Helvetica"/>
              <a:ea typeface="Helvetica"/>
              <a:cs typeface="Helvetica"/>
            </a:rPr>
            <a:t>           </a:t>
          </a:r>
        </a:p>
      </xdr:txBody>
    </xdr:sp>
    <xdr:clientData/>
  </xdr:twoCellAnchor>
  <xdr:twoCellAnchor>
    <xdr:from>
      <xdr:col>3</xdr:col>
      <xdr:colOff>0</xdr:colOff>
      <xdr:row>2</xdr:row>
      <xdr:rowOff>0</xdr:rowOff>
    </xdr:from>
    <xdr:to>
      <xdr:col>8</xdr:col>
      <xdr:colOff>0</xdr:colOff>
      <xdr:row>7</xdr:row>
      <xdr:rowOff>0</xdr:rowOff>
    </xdr:to>
    <xdr:sp>
      <xdr:nvSpPr>
        <xdr:cNvPr id="2" name="Rectangle 2"/>
        <xdr:cNvSpPr>
          <a:spLocks/>
        </xdr:cNvSpPr>
      </xdr:nvSpPr>
      <xdr:spPr>
        <a:xfrm>
          <a:off x="371475" y="180975"/>
          <a:ext cx="5591175"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9525</xdr:colOff>
      <xdr:row>31</xdr:row>
      <xdr:rowOff>9525</xdr:rowOff>
    </xdr:from>
    <xdr:to>
      <xdr:col>8</xdr:col>
      <xdr:colOff>0</xdr:colOff>
      <xdr:row>37</xdr:row>
      <xdr:rowOff>104775</xdr:rowOff>
    </xdr:to>
    <xdr:sp>
      <xdr:nvSpPr>
        <xdr:cNvPr id="3" name="Text Box 7"/>
        <xdr:cNvSpPr txBox="1">
          <a:spLocks noChangeArrowheads="1"/>
        </xdr:cNvSpPr>
      </xdr:nvSpPr>
      <xdr:spPr>
        <a:xfrm>
          <a:off x="381000" y="5619750"/>
          <a:ext cx="5581650" cy="1066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SOURCE OF DATA:
</a:t>
          </a:r>
          <a:r>
            <a:rPr lang="en-US" cap="none" sz="900" b="0" i="0" u="none" baseline="0">
              <a:solidFill>
                <a:srgbClr val="000000"/>
              </a:solidFill>
              <a:latin typeface="Arial"/>
              <a:ea typeface="Arial"/>
              <a:cs typeface="Arial"/>
            </a:rPr>
            <a:t>AVERAGE ACCIDENT RATES:   Intersection: AK Statewide HAS data 2008-12 for all intersection types. Segment: Urban - AK Statewide HAS data 2008-2012;   Rural - NY State averages 2012-15.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ACCIDENT COSTS:  Based on 2009 federal Value of Statistical Life (VSL) cost data</a:t>
          </a:r>
          <a:r>
            <a:rPr lang="en-US" cap="none" sz="900" b="0" i="0" u="none" baseline="0">
              <a:solidFill>
                <a:srgbClr val="000000"/>
              </a:solidFill>
              <a:latin typeface="Arial"/>
              <a:ea typeface="Arial"/>
              <a:cs typeface="Arial"/>
            </a:rPr>
            <a:t> inflated to current year.</a:t>
          </a:r>
          <a:r>
            <a:rPr lang="en-US" cap="none" sz="900" b="0" i="0" u="none" baseline="0">
              <a:solidFill>
                <a:srgbClr val="000000"/>
              </a:solidFill>
              <a:latin typeface="Arial"/>
              <a:ea typeface="Arial"/>
              <a:cs typeface="Arial"/>
            </a:rPr>
            <a:t>    Accident Costs are weighted and proportioned using Alaska accident experience to smooth costs (see Accident Cost Derivation Spreadsheet).</a:t>
          </a:r>
        </a:p>
      </xdr:txBody>
    </xdr:sp>
    <xdr:clientData/>
  </xdr:twoCellAnchor>
  <xdr:twoCellAnchor>
    <xdr:from>
      <xdr:col>3</xdr:col>
      <xdr:colOff>9525</xdr:colOff>
      <xdr:row>28</xdr:row>
      <xdr:rowOff>47625</xdr:rowOff>
    </xdr:from>
    <xdr:to>
      <xdr:col>7</xdr:col>
      <xdr:colOff>1162050</xdr:colOff>
      <xdr:row>30</xdr:row>
      <xdr:rowOff>133350</xdr:rowOff>
    </xdr:to>
    <xdr:sp>
      <xdr:nvSpPr>
        <xdr:cNvPr id="4" name="Text Box 8"/>
        <xdr:cNvSpPr txBox="1">
          <a:spLocks noChangeArrowheads="1"/>
        </xdr:cNvSpPr>
      </xdr:nvSpPr>
      <xdr:spPr>
        <a:xfrm>
          <a:off x="381000" y="5219700"/>
          <a:ext cx="5581650" cy="361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*Approach:  </a:t>
          </a:r>
          <a:r>
            <a:rPr lang="en-US" cap="none" sz="1000" b="0" i="0" u="none" baseline="0">
              <a:solidFill>
                <a:srgbClr val="000000"/>
              </a:solidFill>
              <a:latin typeface="Arial"/>
              <a:ea typeface="Arial"/>
              <a:cs typeface="Arial"/>
            </a:rPr>
            <a:t>A leg of an intersection that carries traffic approaching the intersection.  For example, a 4-legged intersection of 2 one-way roads has 2 approaches as defined here. </a:t>
          </a:r>
        </a:p>
      </xdr:txBody>
    </xdr:sp>
    <xdr:clientData/>
  </xdr:twoCellAnchor>
  <xdr:twoCellAnchor>
    <xdr:from>
      <xdr:col>26</xdr:col>
      <xdr:colOff>0</xdr:colOff>
      <xdr:row>26</xdr:row>
      <xdr:rowOff>0</xdr:rowOff>
    </xdr:from>
    <xdr:to>
      <xdr:col>38</xdr:col>
      <xdr:colOff>104775</xdr:colOff>
      <xdr:row>51</xdr:row>
      <xdr:rowOff>161925</xdr:rowOff>
    </xdr:to>
    <xdr:sp>
      <xdr:nvSpPr>
        <xdr:cNvPr id="5" name="TextBox 5"/>
        <xdr:cNvSpPr txBox="1">
          <a:spLocks noChangeArrowheads="1"/>
        </xdr:cNvSpPr>
      </xdr:nvSpPr>
      <xdr:spPr>
        <a:xfrm>
          <a:off x="17259300" y="4772025"/>
          <a:ext cx="7419975" cy="4400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SEGMENTS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Developed Computed Crash Rates by Road</a:t>
          </a:r>
          <a:r>
            <a:rPr lang="en-US" cap="none" sz="1100" b="0" i="0" u="none" baseline="0">
              <a:solidFill>
                <a:srgbClr val="000000"/>
              </a:solidFill>
              <a:latin typeface="Calibri"/>
              <a:ea typeface="Calibri"/>
              <a:cs typeface="Calibri"/>
            </a:rPr>
            <a:t> Category using HAS program to bin crashes by functional classification, urban or rural location, and road charateristics (e.g., divided or undivided).  Resulting Crash Rates are unitized by Annual Volumes producing Crashes/MVM.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Matched Crash Rates</a:t>
          </a:r>
          <a:r>
            <a:rPr lang="en-US" cap="none" sz="1100" b="0" i="0" u="none" baseline="0">
              <a:solidFill>
                <a:srgbClr val="000000"/>
              </a:solidFill>
              <a:latin typeface="Calibri"/>
              <a:ea typeface="Calibri"/>
              <a:cs typeface="Calibri"/>
            </a:rPr>
            <a:t> by Road Category (sometimes in combination) with best fit Segment Types as used in the HSIP.  Since all annual crash rates are of the same units (crashes/MVM), averaged the applicable Road Categories over a recent five year period 2008-2012.  A five year period was chosen for developing Average Crash Rates because a recent five year period would best reflect current conditions and the period of crash data used in screening crash locations.  </a:t>
          </a:r>
          <a:r>
            <a:rPr lang="en-US" cap="none" sz="1100" b="0" i="0" u="none" baseline="0">
              <a:solidFill>
                <a:srgbClr val="000000"/>
              </a:solidFill>
              <a:latin typeface="Calibri"/>
              <a:ea typeface="Calibri"/>
              <a:cs typeface="Calibri"/>
            </a:rPr>
            <a:t>(A longer 10-period was computed for</a:t>
          </a:r>
          <a:r>
            <a:rPr lang="en-US" cap="none" sz="1100" b="0" i="0" u="none" baseline="0">
              <a:solidFill>
                <a:srgbClr val="000000"/>
              </a:solidFill>
              <a:latin typeface="Calibri"/>
              <a:ea typeface="Calibri"/>
              <a:cs typeface="Calibri"/>
            </a:rPr>
            <a:t> informational purposes only.)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Evaluated Urban and Rural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crash rates for reasonable</a:t>
          </a:r>
          <a:r>
            <a:rPr lang="en-US" cap="none" sz="1100" b="0" i="0" u="none" baseline="0">
              <a:solidFill>
                <a:srgbClr val="000000"/>
              </a:solidFill>
              <a:latin typeface="Calibri"/>
              <a:ea typeface="Calibri"/>
              <a:cs typeface="Calibri"/>
            </a:rPr>
            <a:t>ness after computing Average Crash Rate by Segment Type.  Urban crash rates were evaluated to be a credible representation of Alaska's urban segments because the number of segments in the urban categories is substantial and the rates are reflective of US rates in general, which is espected.  Rural crash rates were evaluated to be not representative because of limited numbers of 4-lane divided, 4-lane undivided, and Freeway segments, and the rates varied widely from the expected rates (e.g. the rates did not reflect an expected difference between Rural Freeway and Rural 2-Lane roads, which is generally expected to be on the order of 0.5:1).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Out-of-State  crash rates (NY State rates 12-13, 13-14, and 14-15) were adopted for use in developing Rural Crash Rates by Segment Type.  NYDOT has published crash rates in significant detail, and in a manner that closely reflects AK's Segment Types listed in the HSIP.  NY State crash rates for Urban and Rural locations were averaged from the three publication's data.  (https://www.dot.ny.gov/divisions/operating/osss/highway/accident-rates?nd=nysdot)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Final values for Segment types were Urban: AK State HAS data, and Rural: NYS DOT average of three publication's selected rates.</a:t>
          </a:r>
        </a:p>
      </xdr:txBody>
    </xdr:sp>
    <xdr:clientData/>
  </xdr:twoCellAnchor>
  <xdr:oneCellAnchor>
    <xdr:from>
      <xdr:col>26</xdr:col>
      <xdr:colOff>0</xdr:colOff>
      <xdr:row>4</xdr:row>
      <xdr:rowOff>0</xdr:rowOff>
    </xdr:from>
    <xdr:ext cx="6438900" cy="2809875"/>
    <xdr:sp>
      <xdr:nvSpPr>
        <xdr:cNvPr id="6" name="TextBox 6"/>
        <xdr:cNvSpPr txBox="1">
          <a:spLocks noChangeArrowheads="1"/>
        </xdr:cNvSpPr>
      </xdr:nvSpPr>
      <xdr:spPr>
        <a:xfrm>
          <a:off x="17259300" y="504825"/>
          <a:ext cx="6438900" cy="2809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INTERSECTIONS</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Used Statewide Intersection Accident Rates by number of conflicts tables.  Restricted data to include years 2008 through 2012 - a recent five year period.</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Used graphical intersections</a:t>
          </a:r>
          <a:r>
            <a:rPr lang="en-US" cap="none" sz="1100" b="0" i="0" u="none" baseline="0">
              <a:solidFill>
                <a:srgbClr val="000000"/>
              </a:solidFill>
              <a:latin typeface="Calibri"/>
              <a:ea typeface="Calibri"/>
              <a:cs typeface="Calibri"/>
            </a:rPr>
            <a:t> by conflicts </a:t>
          </a:r>
          <a:r>
            <a:rPr lang="en-US" cap="none" sz="1100" b="0" i="0" u="none" baseline="0">
              <a:solidFill>
                <a:srgbClr val="000000"/>
              </a:solidFill>
              <a:latin typeface="Calibri"/>
              <a:ea typeface="Calibri"/>
              <a:cs typeface="Calibri"/>
            </a:rPr>
            <a:t>illustrations (</a:t>
          </a:r>
          <a:r>
            <a:rPr lang="en-US" cap="none" sz="1100" b="0" i="0" u="none" baseline="0">
              <a:solidFill>
                <a:srgbClr val="000000"/>
              </a:solidFill>
              <a:latin typeface="Calibri"/>
              <a:ea typeface="Calibri"/>
              <a:cs typeface="Calibri"/>
            </a:rPr>
            <a:t>CR graphic of 13 intersections) to establish  the number of approaches for each intersection shown.</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Identified conflict tables by number of approaches (2, or 3, or 4)</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Noted that 3 Conflicts contained a mix of 2 and 3 approaches.  Elected to include 3 Conflicts table as a component of 2 Approach computations, since there are a minimal number of three approach intersections (estimated to be 2 of about 30 intersections) in the 3 Conflict crash data, and the total number of 2 approach intersections was very low.</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Generated weighted averages (weighted by number of intersections) for the five year period of 2, 3, and 4 approach crash rates for Signalized and 2-Way STOP configurations.</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Applied same methodology, to include all intersection approaches, to compute crash rate for All-way STOP configurations.</a:t>
          </a:r>
          <a:r>
            <a:rPr lang="en-US" cap="none" sz="12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9525</xdr:rowOff>
    </xdr:from>
    <xdr:to>
      <xdr:col>18</xdr:col>
      <xdr:colOff>342900</xdr:colOff>
      <xdr:row>6</xdr:row>
      <xdr:rowOff>28575</xdr:rowOff>
    </xdr:to>
    <xdr:sp>
      <xdr:nvSpPr>
        <xdr:cNvPr id="1" name="Rectangle 5"/>
        <xdr:cNvSpPr>
          <a:spLocks/>
        </xdr:cNvSpPr>
      </xdr:nvSpPr>
      <xdr:spPr>
        <a:xfrm>
          <a:off x="5734050" y="152400"/>
          <a:ext cx="4648200" cy="866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8</xdr:col>
      <xdr:colOff>0</xdr:colOff>
      <xdr:row>2</xdr:row>
      <xdr:rowOff>9525</xdr:rowOff>
    </xdr:from>
    <xdr:to>
      <xdr:col>18</xdr:col>
      <xdr:colOff>333375</xdr:colOff>
      <xdr:row>6</xdr:row>
      <xdr:rowOff>28575</xdr:rowOff>
    </xdr:to>
    <xdr:sp>
      <xdr:nvSpPr>
        <xdr:cNvPr id="2" name="Text Box 6"/>
        <xdr:cNvSpPr txBox="1">
          <a:spLocks noChangeArrowheads="1"/>
        </xdr:cNvSpPr>
      </xdr:nvSpPr>
      <xdr:spPr>
        <a:xfrm>
          <a:off x="5734050" y="152400"/>
          <a:ext cx="4638675" cy="8667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Alaska DOT/PF
</a:t>
          </a:r>
          <a:r>
            <a:rPr lang="en-US" cap="none" sz="1000" b="0" i="0" u="none" baseline="0">
              <a:solidFill>
                <a:srgbClr val="000000"/>
              </a:solidFill>
              <a:latin typeface="Arial"/>
              <a:ea typeface="Arial"/>
              <a:cs typeface="Arial"/>
            </a:rPr>
            <a:t>Highway Safety Improvement Program</a:t>
          </a:r>
          <a:r>
            <a:rPr lang="en-US" cap="none" sz="1000" b="1" i="0" u="none" baseline="0">
              <a:solidFill>
                <a:srgbClr val="000000"/>
              </a:solidFill>
              <a:latin typeface="Arial"/>
              <a:ea typeface="Arial"/>
              <a:cs typeface="Arial"/>
            </a:rPr>
            <a:t>
</a:t>
          </a:r>
          <a:r>
            <a:rPr lang="en-US" cap="none" sz="1400" b="1" i="1" u="none" baseline="0">
              <a:solidFill>
                <a:srgbClr val="000000"/>
              </a:solidFill>
              <a:latin typeface="Arial"/>
              <a:ea typeface="Arial"/>
              <a:cs typeface="Arial"/>
            </a:rPr>
            <a:t>High Accident Location Screening Process</a:t>
          </a:r>
          <a:r>
            <a:rPr lang="en-US" cap="none" sz="1000" b="1" i="0" u="none" baseline="0">
              <a:solidFill>
                <a:srgbClr val="000000"/>
              </a:solidFill>
              <a:latin typeface="Arial"/>
              <a:ea typeface="Arial"/>
              <a:cs typeface="Arial"/>
            </a:rPr>
            <a:t>
</a:t>
          </a:r>
          <a:r>
            <a:rPr lang="en-US" cap="none" sz="1800" b="1" i="1" u="none" baseline="0">
              <a:solidFill>
                <a:srgbClr val="000000"/>
              </a:solidFill>
              <a:latin typeface="Arial"/>
              <a:ea typeface="Arial"/>
              <a:cs typeface="Arial"/>
            </a:rPr>
            <a:t>Segments</a:t>
          </a:r>
        </a:p>
      </xdr:txBody>
    </xdr:sp>
    <xdr:clientData/>
  </xdr:twoCellAnchor>
  <xdr:twoCellAnchor>
    <xdr:from>
      <xdr:col>20</xdr:col>
      <xdr:colOff>95250</xdr:colOff>
      <xdr:row>3</xdr:row>
      <xdr:rowOff>47625</xdr:rowOff>
    </xdr:from>
    <xdr:to>
      <xdr:col>20</xdr:col>
      <xdr:colOff>2181225</xdr:colOff>
      <xdr:row>5</xdr:row>
      <xdr:rowOff>66675</xdr:rowOff>
    </xdr:to>
    <xdr:sp>
      <xdr:nvSpPr>
        <xdr:cNvPr id="3" name="Text Box 7"/>
        <xdr:cNvSpPr txBox="1">
          <a:spLocks noChangeArrowheads="1"/>
        </xdr:cNvSpPr>
      </xdr:nvSpPr>
      <xdr:spPr>
        <a:xfrm>
          <a:off x="11125200" y="352425"/>
          <a:ext cx="2085975" cy="542925"/>
        </a:xfrm>
        <a:prstGeom prst="rect">
          <a:avLst/>
        </a:prstGeom>
        <a:solidFill>
          <a:srgbClr val="FFFFFF"/>
        </a:solidFill>
        <a:ln w="6350"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Red fields are input fields. </a:t>
          </a:r>
          <a:r>
            <a:rPr lang="en-US" cap="none" sz="1000" b="0" i="0" u="none" baseline="0">
              <a:solidFill>
                <a:srgbClr val="000000"/>
              </a:solidFill>
              <a:latin typeface="Arial"/>
              <a:ea typeface="Arial"/>
              <a:cs typeface="Arial"/>
            </a:rPr>
            <a:t>  Black fields are fixed, computed, or derived. </a:t>
          </a:r>
        </a:p>
      </xdr:txBody>
    </xdr:sp>
    <xdr:clientData/>
  </xdr:twoCellAnchor>
  <xdr:twoCellAnchor>
    <xdr:from>
      <xdr:col>8</xdr:col>
      <xdr:colOff>0</xdr:colOff>
      <xdr:row>8</xdr:row>
      <xdr:rowOff>9525</xdr:rowOff>
    </xdr:from>
    <xdr:to>
      <xdr:col>20</xdr:col>
      <xdr:colOff>2466975</xdr:colOff>
      <xdr:row>13</xdr:row>
      <xdr:rowOff>114300</xdr:rowOff>
    </xdr:to>
    <xdr:sp>
      <xdr:nvSpPr>
        <xdr:cNvPr id="4" name="Text Box 8"/>
        <xdr:cNvSpPr txBox="1">
          <a:spLocks noChangeArrowheads="1"/>
        </xdr:cNvSpPr>
      </xdr:nvSpPr>
      <xdr:spPr>
        <a:xfrm>
          <a:off x="5734050" y="1362075"/>
          <a:ext cx="7762875" cy="1038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Notes:
</a:t>
          </a:r>
          <a:r>
            <a:rPr lang="en-US" cap="none" sz="800" b="0" i="0" u="none" baseline="0">
              <a:solidFill>
                <a:srgbClr val="000000"/>
              </a:solidFill>
              <a:latin typeface="Arial"/>
              <a:ea typeface="Arial"/>
              <a:cs typeface="Arial"/>
            </a:rPr>
            <a:t>1.  Explanations are required in the "Comments" column for all segments including at least one fatal crash or two major injury crashes occurred, where improvements are not recommended.   
</a:t>
          </a:r>
          <a:r>
            <a:rPr lang="en-US" cap="none" sz="800" b="0" i="0" u="none" baseline="0">
              <a:solidFill>
                <a:srgbClr val="000000"/>
              </a:solidFill>
              <a:latin typeface="Arial"/>
              <a:ea typeface="Arial"/>
              <a:cs typeface="Arial"/>
            </a:rPr>
            <a:t>2.   To expedite the screening process, the logic in this spreadsheet may be appended to a file analyzing segment data.
</a:t>
          </a:r>
          <a:r>
            <a:rPr lang="en-US" cap="none" sz="800" b="0" i="0" u="none" baseline="0">
              <a:solidFill>
                <a:srgbClr val="000000"/>
              </a:solidFill>
              <a:latin typeface="Arial"/>
              <a:ea typeface="Arial"/>
              <a:cs typeface="Arial"/>
            </a:rPr>
            <a:t>3.  The segment screening process flags locations with one or more fatals and/or two or more major injury accidents for further study.
</a:t>
          </a:r>
          <a:r>
            <a:rPr lang="en-US" cap="none" sz="800" b="0" i="0" u="none" baseline="0">
              <a:solidFill>
                <a:srgbClr val="000000"/>
              </a:solidFill>
              <a:latin typeface="Arial"/>
              <a:ea typeface="Arial"/>
              <a:cs typeface="Arial"/>
            </a:rPr>
            <a:t>4.</a:t>
          </a:r>
          <a:r>
            <a:rPr lang="en-US" cap="none" sz="800" b="0" i="0" u="none" baseline="0">
              <a:solidFill>
                <a:srgbClr val="000000"/>
              </a:solidFill>
              <a:latin typeface="Arial"/>
              <a:ea typeface="Arial"/>
              <a:cs typeface="Arial"/>
            </a:rPr>
            <a:t> Only projects meeting criteria are shown on this template.  All segment projects should be screened using this tool prior to eliminating projects that do not meet criteria.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5.  Sort Value enumerates Fatal and </a:t>
          </a:r>
          <a:r>
            <a:rPr lang="en-US" cap="none" sz="800" b="0" i="0" u="none" baseline="0">
              <a:solidFill>
                <a:srgbClr val="000000"/>
              </a:solidFill>
              <a:latin typeface="Arial"/>
              <a:ea typeface="Arial"/>
              <a:cs typeface="Arial"/>
            </a:rPr>
            <a:t> Major Injury crashes by the following method: Fatal Cashes times 1 plus Major Injuriy Crashes times 0.001.  Values in the column may be used for for quick visual assessment of crash data,and for sorting crash locations in order by number of Fatal and Major injuries.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9525</xdr:rowOff>
    </xdr:from>
    <xdr:to>
      <xdr:col>14</xdr:col>
      <xdr:colOff>409575</xdr:colOff>
      <xdr:row>6</xdr:row>
      <xdr:rowOff>28575</xdr:rowOff>
    </xdr:to>
    <xdr:sp>
      <xdr:nvSpPr>
        <xdr:cNvPr id="1" name="Rectangle 3"/>
        <xdr:cNvSpPr>
          <a:spLocks/>
        </xdr:cNvSpPr>
      </xdr:nvSpPr>
      <xdr:spPr>
        <a:xfrm>
          <a:off x="3038475" y="152400"/>
          <a:ext cx="4876800" cy="857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0</xdr:colOff>
      <xdr:row>2</xdr:row>
      <xdr:rowOff>9525</xdr:rowOff>
    </xdr:from>
    <xdr:to>
      <xdr:col>14</xdr:col>
      <xdr:colOff>409575</xdr:colOff>
      <xdr:row>6</xdr:row>
      <xdr:rowOff>28575</xdr:rowOff>
    </xdr:to>
    <xdr:sp>
      <xdr:nvSpPr>
        <xdr:cNvPr id="2" name="Text Box 5"/>
        <xdr:cNvSpPr txBox="1">
          <a:spLocks noChangeArrowheads="1"/>
        </xdr:cNvSpPr>
      </xdr:nvSpPr>
      <xdr:spPr>
        <a:xfrm>
          <a:off x="3038475" y="152400"/>
          <a:ext cx="4876800" cy="857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Alaska DOT/PF
</a:t>
          </a:r>
          <a:r>
            <a:rPr lang="en-US" cap="none" sz="1000" b="0" i="0" u="none" baseline="0">
              <a:solidFill>
                <a:srgbClr val="000000"/>
              </a:solidFill>
              <a:latin typeface="Arial"/>
              <a:ea typeface="Arial"/>
              <a:cs typeface="Arial"/>
            </a:rPr>
            <a:t>Highway Safety Improvement Program</a:t>
          </a:r>
          <a:r>
            <a:rPr lang="en-US" cap="none" sz="1000" b="1" i="0" u="none" baseline="0">
              <a:solidFill>
                <a:srgbClr val="000000"/>
              </a:solidFill>
              <a:latin typeface="Arial"/>
              <a:ea typeface="Arial"/>
              <a:cs typeface="Arial"/>
            </a:rPr>
            <a:t>
</a:t>
          </a:r>
          <a:r>
            <a:rPr lang="en-US" cap="none" sz="1400" b="1" i="1" u="none" baseline="0">
              <a:solidFill>
                <a:srgbClr val="000000"/>
              </a:solidFill>
              <a:latin typeface="Arial"/>
              <a:ea typeface="Arial"/>
              <a:cs typeface="Arial"/>
            </a:rPr>
            <a:t>High Accident Location Screening Process</a:t>
          </a:r>
          <a:r>
            <a:rPr lang="en-US" cap="none" sz="1000" b="1" i="0" u="none" baseline="0">
              <a:solidFill>
                <a:srgbClr val="000000"/>
              </a:solidFill>
              <a:latin typeface="Arial"/>
              <a:ea typeface="Arial"/>
              <a:cs typeface="Arial"/>
            </a:rPr>
            <a:t>
</a:t>
          </a:r>
          <a:r>
            <a:rPr lang="en-US" cap="none" sz="1800" b="1" i="1" u="none" baseline="0">
              <a:solidFill>
                <a:srgbClr val="000000"/>
              </a:solidFill>
              <a:latin typeface="Arial"/>
              <a:ea typeface="Arial"/>
              <a:cs typeface="Arial"/>
            </a:rPr>
            <a:t>Intersections</a:t>
          </a:r>
        </a:p>
      </xdr:txBody>
    </xdr:sp>
    <xdr:clientData/>
  </xdr:twoCellAnchor>
  <xdr:twoCellAnchor>
    <xdr:from>
      <xdr:col>16</xdr:col>
      <xdr:colOff>266700</xdr:colOff>
      <xdr:row>3</xdr:row>
      <xdr:rowOff>38100</xdr:rowOff>
    </xdr:from>
    <xdr:to>
      <xdr:col>19</xdr:col>
      <xdr:colOff>809625</xdr:colOff>
      <xdr:row>5</xdr:row>
      <xdr:rowOff>28575</xdr:rowOff>
    </xdr:to>
    <xdr:sp>
      <xdr:nvSpPr>
        <xdr:cNvPr id="3" name="Text Box 6"/>
        <xdr:cNvSpPr txBox="1">
          <a:spLocks noChangeArrowheads="1"/>
        </xdr:cNvSpPr>
      </xdr:nvSpPr>
      <xdr:spPr>
        <a:xfrm>
          <a:off x="8629650" y="342900"/>
          <a:ext cx="2162175" cy="504825"/>
        </a:xfrm>
        <a:prstGeom prst="rect">
          <a:avLst/>
        </a:prstGeom>
        <a:solidFill>
          <a:srgbClr val="FFFFFF"/>
        </a:solidFill>
        <a:ln w="6350" cmpd="sng">
          <a:solidFill>
            <a:srgbClr val="000000"/>
          </a:solidFill>
          <a:headEnd type="none"/>
          <a:tailEnd type="none"/>
        </a:ln>
      </xdr:spPr>
      <xdr:txBody>
        <a:bodyPr vertOverflow="clip" wrap="square" lIns="27432" tIns="22860" rIns="0" bIns="0"/>
        <a:p>
          <a:pPr algn="l">
            <a:defRPr/>
          </a:pPr>
          <a:r>
            <a:rPr lang="en-US" cap="none" sz="900" b="0" i="0" u="none" baseline="0">
              <a:solidFill>
                <a:srgbClr val="FF0000"/>
              </a:solidFill>
              <a:latin typeface="Arial"/>
              <a:ea typeface="Arial"/>
              <a:cs typeface="Arial"/>
            </a:rPr>
            <a:t>Red fields are input fields. </a:t>
          </a:r>
          <a:r>
            <a:rPr lang="en-US" cap="none" sz="900" b="0" i="0" u="none" baseline="0">
              <a:solidFill>
                <a:srgbClr val="000000"/>
              </a:solidFill>
              <a:latin typeface="Arial"/>
              <a:ea typeface="Arial"/>
              <a:cs typeface="Arial"/>
            </a:rPr>
            <a:t>  Black fields are fixed, computed, or derived. </a:t>
          </a:r>
        </a:p>
      </xdr:txBody>
    </xdr:sp>
    <xdr:clientData/>
  </xdr:twoCellAnchor>
  <xdr:twoCellAnchor>
    <xdr:from>
      <xdr:col>10</xdr:col>
      <xdr:colOff>0</xdr:colOff>
      <xdr:row>9</xdr:row>
      <xdr:rowOff>47625</xdr:rowOff>
    </xdr:from>
    <xdr:to>
      <xdr:col>20</xdr:col>
      <xdr:colOff>9525</xdr:colOff>
      <xdr:row>20</xdr:row>
      <xdr:rowOff>104775</xdr:rowOff>
    </xdr:to>
    <xdr:sp>
      <xdr:nvSpPr>
        <xdr:cNvPr id="4" name="Text Box 7"/>
        <xdr:cNvSpPr txBox="1">
          <a:spLocks noChangeArrowheads="1"/>
        </xdr:cNvSpPr>
      </xdr:nvSpPr>
      <xdr:spPr>
        <a:xfrm>
          <a:off x="5524500" y="1562100"/>
          <a:ext cx="6972300" cy="1695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Notes:
</a:t>
          </a:r>
          <a:r>
            <a:rPr lang="en-US" cap="none" sz="800" b="0" i="0" u="none" baseline="0">
              <a:solidFill>
                <a:srgbClr val="000000"/>
              </a:solidFill>
              <a:latin typeface="Arial"/>
              <a:ea typeface="Arial"/>
              <a:cs typeface="Arial"/>
            </a:rPr>
            <a:t>1.  Explanations are required in the "Comments" column for all intersections with safety indices of 0.9 or over (with a 95% level of confidence), or where at</a:t>
          </a:r>
          <a:r>
            <a:rPr lang="en-US" cap="none" sz="800" b="0" i="0" u="none" baseline="0">
              <a:solidFill>
                <a:srgbClr val="000000"/>
              </a:solidFill>
              <a:latin typeface="Arial"/>
              <a:ea typeface="Arial"/>
              <a:cs typeface="Arial"/>
            </a:rPr>
            <a:t> least one fatal crash or two major injury crashes occurred, </a:t>
          </a:r>
          <a:r>
            <a:rPr lang="en-US" cap="none" sz="800" b="0" i="0" u="none" baseline="0">
              <a:solidFill>
                <a:srgbClr val="000000"/>
              </a:solidFill>
              <a:latin typeface="Arial"/>
              <a:ea typeface="Arial"/>
              <a:cs typeface="Arial"/>
            </a:rPr>
            <a:t>where improvements are not recommended.   
</a:t>
          </a:r>
          <a:r>
            <a:rPr lang="en-US" cap="none" sz="800" b="0" i="0" u="none" baseline="0">
              <a:solidFill>
                <a:srgbClr val="000000"/>
              </a:solidFill>
              <a:latin typeface="Arial"/>
              <a:ea typeface="Arial"/>
              <a:cs typeface="Arial"/>
            </a:rPr>
            <a:t>2.  To expedite the screening process, the logic in this spreadsheet may be appended to a file of intersection data .
</a:t>
          </a:r>
          <a:r>
            <a:rPr lang="en-US" cap="none" sz="800" b="0" i="0" u="none" baseline="0">
              <a:solidFill>
                <a:srgbClr val="000000"/>
              </a:solidFill>
              <a:latin typeface="Arial"/>
              <a:ea typeface="Arial"/>
              <a:cs typeface="Arial"/>
            </a:rPr>
            <a:t>3.  Sort projects based on Safety Index initially.  Discard projects with a Safety Index less than 0.90 and</a:t>
          </a:r>
          <a:r>
            <a:rPr lang="en-US" cap="none" sz="800" b="0" i="0" u="none" baseline="0">
              <a:solidFill>
                <a:srgbClr val="000000"/>
              </a:solidFill>
              <a:latin typeface="Arial"/>
              <a:ea typeface="Arial"/>
              <a:cs typeface="Arial"/>
            </a:rPr>
            <a:t> that do not have one fatal or two major injury crashes</a:t>
          </a:r>
          <a:r>
            <a:rPr lang="en-US" cap="none" sz="800" b="0" i="0" u="none" baseline="0">
              <a:solidFill>
                <a:srgbClr val="000000"/>
              </a:solidFill>
              <a:latin typeface="Arial"/>
              <a:ea typeface="Arial"/>
              <a:cs typeface="Arial"/>
            </a:rPr>
            <a:t>.  Sort on Accident Cost Rate to prioritize projects during evaluation.
</a:t>
          </a:r>
          <a:r>
            <a:rPr lang="en-US" cap="none" sz="800" b="0" i="0" u="none" baseline="0">
              <a:solidFill>
                <a:srgbClr val="000000"/>
              </a:solidFill>
              <a:latin typeface="Arial"/>
              <a:ea typeface="Arial"/>
              <a:cs typeface="Arial"/>
            </a:rPr>
            <a:t>4. Accident Rate represents the Total Number of Accidents per 1 Million Entering Vehicles in the period.  Accident Cost Rate represents the Average Accident Cost per 100 Million Entering Vehicles.
</a:t>
          </a:r>
          <a:r>
            <a:rPr lang="en-US" cap="none" sz="800" b="0" i="0" u="none" baseline="0">
              <a:solidFill>
                <a:srgbClr val="000000"/>
              </a:solidFill>
              <a:latin typeface="Arial"/>
              <a:ea typeface="Arial"/>
              <a:cs typeface="Arial"/>
            </a:rPr>
            <a:t>5.</a:t>
          </a:r>
          <a:r>
            <a:rPr lang="en-US" cap="none" sz="800" b="0" i="0" u="none" baseline="0">
              <a:solidFill>
                <a:srgbClr val="000000"/>
              </a:solidFill>
              <a:latin typeface="Arial"/>
              <a:ea typeface="Arial"/>
              <a:cs typeface="Arial"/>
            </a:rPr>
            <a:t> Only projects meeting criteria are shown on this template.  All  intersection projects should be screened using this tool prior to eliminating projects that do not meet criteria.
</a:t>
          </a:r>
          <a:r>
            <a:rPr lang="en-US" cap="none" sz="800" b="0" i="0" u="none" baseline="0">
              <a:solidFill>
                <a:srgbClr val="000000"/>
              </a:solidFill>
              <a:latin typeface="Arial"/>
              <a:ea typeface="Arial"/>
              <a:cs typeface="Arial"/>
            </a:rPr>
            <a:t>6.  Severity Indicator</a:t>
          </a:r>
          <a:r>
            <a:rPr lang="en-US" cap="none" sz="800" b="0" i="0" u="none" baseline="0">
              <a:solidFill>
                <a:srgbClr val="000000"/>
              </a:solidFill>
              <a:latin typeface="Arial"/>
              <a:ea typeface="Arial"/>
              <a:cs typeface="Arial"/>
            </a:rPr>
            <a:t>: Fatal Crashes times 1 plus Major Injury Crashes times 0.001.  Values in the column may be used for for quick visual assessment of crash data,and for sorting crash locations in order by number of Fatal and Major injuries.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ot.ny.gov/divisions/operating/osss/highway/accident-rates?nd=nysdo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Y54"/>
  <sheetViews>
    <sheetView showGridLines="0" tabSelected="1" view="pageBreakPreview" zoomScale="70" zoomScaleSheetLayoutView="70" zoomScalePageLayoutView="0" workbookViewId="0" topLeftCell="A1">
      <selection activeCell="R15" sqref="R15"/>
    </sheetView>
  </sheetViews>
  <sheetFormatPr defaultColWidth="9.140625" defaultRowHeight="12.75"/>
  <cols>
    <col min="1" max="1" width="1.421875" style="1" customWidth="1"/>
    <col min="2" max="2" width="0.71875" style="1" customWidth="1"/>
    <col min="3" max="3" width="3.421875" style="1" customWidth="1"/>
    <col min="4" max="4" width="16.00390625" style="1" customWidth="1"/>
    <col min="5" max="5" width="21.57421875" style="1" customWidth="1"/>
    <col min="6" max="6" width="3.7109375" style="1" customWidth="1"/>
    <col min="7" max="7" width="25.140625" style="1" customWidth="1"/>
    <col min="8" max="8" width="17.421875" style="1" customWidth="1"/>
    <col min="9" max="9" width="3.57421875" style="1" customWidth="1"/>
    <col min="10" max="10" width="9.140625" style="1" customWidth="1"/>
    <col min="11" max="11" width="5.8515625" style="1" customWidth="1"/>
    <col min="12" max="12" width="9.140625" style="1" customWidth="1"/>
    <col min="13" max="14" width="6.140625" style="1" customWidth="1"/>
    <col min="15" max="15" width="22.421875" style="1" customWidth="1"/>
    <col min="16" max="16" width="15.57421875" style="1" customWidth="1"/>
    <col min="17" max="16384" width="9.140625" style="1" customWidth="1"/>
  </cols>
  <sheetData>
    <row r="1" ht="5.25" customHeight="1"/>
    <row r="2" spans="2:9" ht="9" customHeight="1">
      <c r="B2" s="2"/>
      <c r="C2" s="45"/>
      <c r="D2" s="45"/>
      <c r="E2" s="45"/>
      <c r="F2" s="45"/>
      <c r="G2" s="45"/>
      <c r="H2" s="45"/>
      <c r="I2" s="46"/>
    </row>
    <row r="3" spans="2:9" ht="12.75">
      <c r="B3" s="3"/>
      <c r="C3" s="47"/>
      <c r="D3" s="48" t="s">
        <v>0</v>
      </c>
      <c r="E3" s="49"/>
      <c r="F3" s="49"/>
      <c r="G3" s="49"/>
      <c r="H3" s="50"/>
      <c r="I3" s="51"/>
    </row>
    <row r="4" spans="2:9" ht="12.75">
      <c r="B4" s="3"/>
      <c r="C4" s="47"/>
      <c r="D4" s="52" t="s">
        <v>1</v>
      </c>
      <c r="E4" s="53"/>
      <c r="F4" s="53"/>
      <c r="G4" s="53"/>
      <c r="H4" s="54"/>
      <c r="I4" s="51"/>
    </row>
    <row r="5" spans="2:9" ht="18.75">
      <c r="B5" s="3"/>
      <c r="C5" s="47"/>
      <c r="D5" s="55" t="s">
        <v>10</v>
      </c>
      <c r="E5" s="56"/>
      <c r="F5" s="56"/>
      <c r="G5" s="53"/>
      <c r="H5" s="54"/>
      <c r="I5" s="51"/>
    </row>
    <row r="6" spans="2:12" ht="23.25">
      <c r="B6" s="3"/>
      <c r="C6" s="47"/>
      <c r="D6" s="57" t="s">
        <v>11</v>
      </c>
      <c r="E6" s="56"/>
      <c r="F6" s="56"/>
      <c r="G6" s="53"/>
      <c r="H6" s="54"/>
      <c r="I6" s="51"/>
      <c r="L6" s="202" t="s">
        <v>140</v>
      </c>
    </row>
    <row r="7" spans="2:13" ht="18.75">
      <c r="B7" s="3"/>
      <c r="C7" s="47"/>
      <c r="D7" s="58" t="s">
        <v>131</v>
      </c>
      <c r="E7" s="59"/>
      <c r="F7" s="59"/>
      <c r="G7" s="60"/>
      <c r="H7" s="61"/>
      <c r="I7" s="51"/>
      <c r="M7" s="202" t="s">
        <v>141</v>
      </c>
    </row>
    <row r="8" spans="2:9" ht="9" customHeight="1">
      <c r="B8" s="3"/>
      <c r="C8" s="47"/>
      <c r="D8" s="47"/>
      <c r="E8" s="47"/>
      <c r="F8" s="47"/>
      <c r="G8" s="47"/>
      <c r="H8" s="47"/>
      <c r="I8" s="51"/>
    </row>
    <row r="9" spans="2:9" ht="18.75">
      <c r="B9" s="3"/>
      <c r="C9" s="47"/>
      <c r="D9" s="62" t="s">
        <v>12</v>
      </c>
      <c r="E9" s="63"/>
      <c r="F9" s="63"/>
      <c r="G9" s="64"/>
      <c r="H9" s="65"/>
      <c r="I9" s="51"/>
    </row>
    <row r="10" spans="2:12" ht="15">
      <c r="B10" s="3"/>
      <c r="C10" s="47"/>
      <c r="D10" s="66" t="s">
        <v>28</v>
      </c>
      <c r="E10" s="67" t="s">
        <v>14</v>
      </c>
      <c r="F10" s="68"/>
      <c r="G10" s="69"/>
      <c r="H10" s="70" t="s">
        <v>9</v>
      </c>
      <c r="I10" s="51"/>
      <c r="L10" s="26" t="s">
        <v>59</v>
      </c>
    </row>
    <row r="11" spans="2:18" ht="15.75">
      <c r="B11" s="3"/>
      <c r="C11" s="47"/>
      <c r="D11" s="71">
        <v>1</v>
      </c>
      <c r="E11" s="72" t="s">
        <v>13</v>
      </c>
      <c r="F11" s="73"/>
      <c r="G11" s="74" t="s">
        <v>36</v>
      </c>
      <c r="H11" s="228">
        <v>1.1820000000000002</v>
      </c>
      <c r="I11" s="51"/>
      <c r="J11" s="75">
        <v>1.1391746987951807</v>
      </c>
      <c r="L11" s="12">
        <v>1</v>
      </c>
      <c r="M11" s="1" t="s">
        <v>58</v>
      </c>
      <c r="R11" s="1" t="s">
        <v>104</v>
      </c>
    </row>
    <row r="12" spans="2:18" ht="15.75">
      <c r="B12" s="3"/>
      <c r="C12" s="47"/>
      <c r="D12" s="76">
        <v>2</v>
      </c>
      <c r="E12" s="77"/>
      <c r="F12" s="78"/>
      <c r="G12" s="79" t="s">
        <v>37</v>
      </c>
      <c r="H12" s="229">
        <v>1.0238557422969186</v>
      </c>
      <c r="I12" s="51"/>
      <c r="J12" s="80">
        <v>1.0112814371257484</v>
      </c>
      <c r="L12" s="15">
        <v>2</v>
      </c>
      <c r="M12" s="1" t="s">
        <v>58</v>
      </c>
      <c r="R12" s="202" t="s">
        <v>139</v>
      </c>
    </row>
    <row r="13" spans="2:13" ht="15.75">
      <c r="B13" s="3"/>
      <c r="C13" s="47"/>
      <c r="D13" s="81">
        <v>3</v>
      </c>
      <c r="E13" s="235">
        <v>42767</v>
      </c>
      <c r="F13" s="83"/>
      <c r="G13" s="84" t="s">
        <v>38</v>
      </c>
      <c r="H13" s="230">
        <v>1.5714875701684041</v>
      </c>
      <c r="I13" s="51"/>
      <c r="J13" s="85">
        <v>1.472743935309973</v>
      </c>
      <c r="L13" s="13">
        <v>3</v>
      </c>
      <c r="M13" s="1" t="s">
        <v>58</v>
      </c>
    </row>
    <row r="14" spans="2:18" ht="15.75">
      <c r="B14" s="3"/>
      <c r="C14" s="47"/>
      <c r="D14" s="76">
        <v>4</v>
      </c>
      <c r="E14" s="77" t="s">
        <v>30</v>
      </c>
      <c r="F14" s="83"/>
      <c r="G14" s="78" t="s">
        <v>33</v>
      </c>
      <c r="H14" s="231">
        <v>0.7305</v>
      </c>
      <c r="I14" s="51"/>
      <c r="J14" s="86">
        <v>0.7182758620689654</v>
      </c>
      <c r="L14" s="15">
        <v>4</v>
      </c>
      <c r="M14" s="1" t="s">
        <v>58</v>
      </c>
      <c r="R14" s="202" t="s">
        <v>142</v>
      </c>
    </row>
    <row r="15" spans="2:13" ht="15.75">
      <c r="B15" s="3"/>
      <c r="C15" s="47"/>
      <c r="D15" s="87">
        <v>5</v>
      </c>
      <c r="E15" s="88" t="s">
        <v>31</v>
      </c>
      <c r="F15" s="89"/>
      <c r="G15" s="74" t="s">
        <v>36</v>
      </c>
      <c r="H15" s="228">
        <v>0.5691612903225806</v>
      </c>
      <c r="I15" s="51"/>
      <c r="J15" s="75">
        <v>0.5148333333333334</v>
      </c>
      <c r="L15" s="12">
        <v>5</v>
      </c>
      <c r="M15" s="1" t="s">
        <v>58</v>
      </c>
    </row>
    <row r="16" spans="2:21" ht="15.75">
      <c r="B16" s="3"/>
      <c r="C16" s="47"/>
      <c r="D16" s="90">
        <v>6</v>
      </c>
      <c r="E16" s="91"/>
      <c r="F16" s="92"/>
      <c r="G16" s="79" t="s">
        <v>37</v>
      </c>
      <c r="H16" s="229">
        <v>0.5248188811188812</v>
      </c>
      <c r="I16" s="51"/>
      <c r="J16" s="80">
        <v>0.46611466458658346</v>
      </c>
      <c r="L16" s="15">
        <v>6</v>
      </c>
      <c r="M16" s="1" t="s">
        <v>58</v>
      </c>
      <c r="U16" s="1" t="s">
        <v>129</v>
      </c>
    </row>
    <row r="17" spans="2:21" ht="15.75">
      <c r="B17" s="3"/>
      <c r="C17" s="47"/>
      <c r="D17" s="93">
        <v>7</v>
      </c>
      <c r="E17" s="94"/>
      <c r="F17" s="95"/>
      <c r="G17" s="84" t="s">
        <v>38</v>
      </c>
      <c r="H17" s="230">
        <v>0.5539801324503311</v>
      </c>
      <c r="I17" s="51"/>
      <c r="J17" s="85">
        <v>0.5668305084745763</v>
      </c>
      <c r="L17" s="13">
        <v>7</v>
      </c>
      <c r="M17" s="1" t="s">
        <v>58</v>
      </c>
      <c r="U17" s="1" t="s">
        <v>103</v>
      </c>
    </row>
    <row r="18" spans="2:21" ht="9" customHeight="1">
      <c r="B18" s="3"/>
      <c r="C18" s="47"/>
      <c r="D18" s="47"/>
      <c r="E18" s="47"/>
      <c r="F18" s="47"/>
      <c r="G18" s="47"/>
      <c r="H18" s="47"/>
      <c r="I18" s="51"/>
      <c r="R18" s="1" t="s">
        <v>55</v>
      </c>
      <c r="U18" s="214"/>
    </row>
    <row r="19" spans="2:24" ht="18" customHeight="1">
      <c r="B19" s="3"/>
      <c r="C19" s="47"/>
      <c r="D19" s="62" t="s">
        <v>15</v>
      </c>
      <c r="E19" s="63"/>
      <c r="F19" s="63"/>
      <c r="G19" s="64"/>
      <c r="H19" s="65"/>
      <c r="I19" s="51"/>
      <c r="R19" s="202" t="s">
        <v>132</v>
      </c>
      <c r="S19" s="1" t="s">
        <v>133</v>
      </c>
      <c r="T19" s="1" t="s">
        <v>134</v>
      </c>
      <c r="U19" s="214" t="s">
        <v>135</v>
      </c>
      <c r="V19" s="23" t="s">
        <v>136</v>
      </c>
      <c r="W19" s="23" t="s">
        <v>137</v>
      </c>
      <c r="X19" s="215" t="s">
        <v>138</v>
      </c>
    </row>
    <row r="20" spans="2:24" ht="12.75" customHeight="1">
      <c r="B20" s="3"/>
      <c r="C20" s="47"/>
      <c r="D20" s="66" t="s">
        <v>28</v>
      </c>
      <c r="E20" s="67" t="s">
        <v>16</v>
      </c>
      <c r="F20" s="68"/>
      <c r="G20" s="69"/>
      <c r="H20" s="70" t="s">
        <v>9</v>
      </c>
      <c r="I20" s="51"/>
      <c r="L20" s="26" t="s">
        <v>60</v>
      </c>
      <c r="P20" s="1" t="s">
        <v>57</v>
      </c>
      <c r="Q20" s="1" t="s">
        <v>56</v>
      </c>
      <c r="R20" s="1">
        <v>2015</v>
      </c>
      <c r="S20" s="1">
        <v>2014</v>
      </c>
      <c r="T20" s="1">
        <v>2013</v>
      </c>
      <c r="U20" s="214">
        <v>2012</v>
      </c>
      <c r="V20" s="23">
        <v>2011</v>
      </c>
      <c r="W20" s="23">
        <v>2010</v>
      </c>
      <c r="X20" s="215">
        <v>2009</v>
      </c>
    </row>
    <row r="21" spans="2:24" ht="12.75" customHeight="1">
      <c r="B21" s="3"/>
      <c r="C21" s="47"/>
      <c r="D21" s="71">
        <v>1</v>
      </c>
      <c r="E21" s="72" t="s">
        <v>17</v>
      </c>
      <c r="F21" s="96"/>
      <c r="G21" s="74" t="s">
        <v>19</v>
      </c>
      <c r="H21" s="206">
        <v>1.6</v>
      </c>
      <c r="I21" s="51"/>
      <c r="L21" s="16">
        <v>1</v>
      </c>
      <c r="M21" s="17" t="s">
        <v>17</v>
      </c>
      <c r="N21" s="20"/>
      <c r="O21" s="5" t="s">
        <v>19</v>
      </c>
      <c r="P21" s="203" t="s">
        <v>58</v>
      </c>
      <c r="Q21" s="203">
        <f>AVERAGE(R21:T21)</f>
        <v>2.28</v>
      </c>
      <c r="R21" s="203">
        <v>2.29</v>
      </c>
      <c r="S21" s="8">
        <v>2.3</v>
      </c>
      <c r="T21" s="211">
        <v>2.25</v>
      </c>
      <c r="U21" s="225">
        <v>2.24</v>
      </c>
      <c r="V21" s="211">
        <v>2.2</v>
      </c>
      <c r="W21" s="211">
        <v>2.11</v>
      </c>
      <c r="X21" s="203">
        <v>2.22</v>
      </c>
    </row>
    <row r="22" spans="2:24" ht="12.75" customHeight="1">
      <c r="B22" s="3"/>
      <c r="C22" s="47"/>
      <c r="D22" s="76">
        <v>2</v>
      </c>
      <c r="E22" s="77"/>
      <c r="F22" s="97"/>
      <c r="G22" s="79" t="s">
        <v>20</v>
      </c>
      <c r="H22" s="207">
        <v>1.9</v>
      </c>
      <c r="I22" s="51"/>
      <c r="L22" s="14">
        <v>2</v>
      </c>
      <c r="M22" s="18"/>
      <c r="N22" s="21"/>
      <c r="O22" s="6" t="s">
        <v>20</v>
      </c>
      <c r="P22" s="204" t="s">
        <v>58</v>
      </c>
      <c r="Q22" s="204">
        <f aca="true" t="shared" si="0" ref="Q22:Q28">AVERAGE(R22:T22)</f>
        <v>3.25</v>
      </c>
      <c r="R22" s="204">
        <v>3.26</v>
      </c>
      <c r="S22" s="10">
        <v>3.29</v>
      </c>
      <c r="T22" s="212">
        <v>3.2</v>
      </c>
      <c r="U22" s="226">
        <v>3.1</v>
      </c>
      <c r="V22" s="212">
        <v>3.03</v>
      </c>
      <c r="W22" s="212">
        <v>2.79</v>
      </c>
      <c r="X22" s="204">
        <v>2.97</v>
      </c>
    </row>
    <row r="23" spans="2:24" ht="12.75" customHeight="1">
      <c r="B23" s="3"/>
      <c r="C23" s="47"/>
      <c r="D23" s="76">
        <v>3</v>
      </c>
      <c r="E23" s="77"/>
      <c r="F23" s="97"/>
      <c r="G23" s="79" t="s">
        <v>21</v>
      </c>
      <c r="H23" s="207">
        <v>1.3</v>
      </c>
      <c r="I23" s="51"/>
      <c r="L23" s="14">
        <v>3</v>
      </c>
      <c r="M23" s="18"/>
      <c r="N23" s="21"/>
      <c r="O23" s="6" t="s">
        <v>21</v>
      </c>
      <c r="P23" s="204" t="s">
        <v>58</v>
      </c>
      <c r="Q23" s="204">
        <f t="shared" si="0"/>
        <v>2.733333333333333</v>
      </c>
      <c r="R23" s="204">
        <v>2.69</v>
      </c>
      <c r="S23" s="10">
        <v>2.72</v>
      </c>
      <c r="T23" s="212">
        <v>2.79</v>
      </c>
      <c r="U23" s="226">
        <v>2.78</v>
      </c>
      <c r="V23" s="212">
        <v>2.72</v>
      </c>
      <c r="W23" s="212">
        <v>2.38</v>
      </c>
      <c r="X23" s="204">
        <v>2.7</v>
      </c>
    </row>
    <row r="24" spans="2:25" ht="12.75" customHeight="1">
      <c r="B24" s="3"/>
      <c r="C24" s="47"/>
      <c r="D24" s="76">
        <v>4</v>
      </c>
      <c r="E24" s="77"/>
      <c r="F24" s="97"/>
      <c r="G24" s="79" t="s">
        <v>22</v>
      </c>
      <c r="H24" s="207">
        <v>0.9</v>
      </c>
      <c r="I24" s="51"/>
      <c r="L24" s="14">
        <v>4</v>
      </c>
      <c r="M24" s="18"/>
      <c r="N24" s="21"/>
      <c r="O24" s="6" t="s">
        <v>22</v>
      </c>
      <c r="P24" s="204" t="s">
        <v>58</v>
      </c>
      <c r="Q24" s="204">
        <f t="shared" si="0"/>
        <v>1.02</v>
      </c>
      <c r="R24" s="204">
        <v>1.03</v>
      </c>
      <c r="S24" s="10">
        <v>1.01</v>
      </c>
      <c r="T24" s="212">
        <v>1.02</v>
      </c>
      <c r="U24" s="226">
        <v>1.16</v>
      </c>
      <c r="V24" s="212">
        <v>1.23</v>
      </c>
      <c r="W24" s="212">
        <v>1.06</v>
      </c>
      <c r="X24" s="204">
        <v>1.21</v>
      </c>
      <c r="Y24" s="24"/>
    </row>
    <row r="25" spans="2:24" ht="15.75">
      <c r="B25" s="3"/>
      <c r="C25" s="47"/>
      <c r="D25" s="71">
        <v>5</v>
      </c>
      <c r="E25" s="72" t="s">
        <v>18</v>
      </c>
      <c r="F25" s="96"/>
      <c r="G25" s="74" t="s">
        <v>19</v>
      </c>
      <c r="H25" s="208">
        <v>2.3</v>
      </c>
      <c r="I25" s="51"/>
      <c r="L25" s="16">
        <v>5</v>
      </c>
      <c r="M25" s="17" t="s">
        <v>18</v>
      </c>
      <c r="N25" s="20"/>
      <c r="O25" s="5" t="s">
        <v>19</v>
      </c>
      <c r="P25" s="217">
        <f>ROUND(Q25,1)</f>
        <v>2.3</v>
      </c>
      <c r="Q25" s="203">
        <f t="shared" si="0"/>
        <v>2.276666666666667</v>
      </c>
      <c r="R25" s="203">
        <v>2.26</v>
      </c>
      <c r="S25" s="8">
        <v>2.33</v>
      </c>
      <c r="T25" s="211">
        <v>2.24</v>
      </c>
      <c r="U25" s="225">
        <v>2.21</v>
      </c>
      <c r="V25" s="211">
        <v>2.22</v>
      </c>
      <c r="W25" s="211">
        <v>2.14</v>
      </c>
      <c r="X25" s="203">
        <v>2.17</v>
      </c>
    </row>
    <row r="26" spans="2:24" ht="15.75">
      <c r="B26" s="3"/>
      <c r="C26" s="47"/>
      <c r="D26" s="76">
        <v>6</v>
      </c>
      <c r="E26" s="77"/>
      <c r="F26" s="97"/>
      <c r="G26" s="79" t="s">
        <v>20</v>
      </c>
      <c r="H26" s="209">
        <v>2</v>
      </c>
      <c r="I26" s="51"/>
      <c r="L26" s="14">
        <v>6</v>
      </c>
      <c r="M26" s="18"/>
      <c r="N26" s="21"/>
      <c r="O26" s="6" t="s">
        <v>20</v>
      </c>
      <c r="P26" s="218">
        <f>ROUND(Q26,1)</f>
        <v>2</v>
      </c>
      <c r="Q26" s="204">
        <f t="shared" si="0"/>
        <v>2.0433333333333334</v>
      </c>
      <c r="R26" s="204">
        <v>2.02</v>
      </c>
      <c r="S26" s="10">
        <v>2.1</v>
      </c>
      <c r="T26" s="212">
        <v>2.01</v>
      </c>
      <c r="U26" s="226">
        <v>1.88</v>
      </c>
      <c r="V26" s="212">
        <v>1.82</v>
      </c>
      <c r="W26" s="212">
        <v>1.82</v>
      </c>
      <c r="X26" s="204">
        <v>1.77</v>
      </c>
    </row>
    <row r="27" spans="2:24" ht="15.75">
      <c r="B27" s="3"/>
      <c r="C27" s="47"/>
      <c r="D27" s="76">
        <v>7</v>
      </c>
      <c r="E27" s="77"/>
      <c r="F27" s="97"/>
      <c r="G27" s="79" t="s">
        <v>21</v>
      </c>
      <c r="H27" s="209">
        <v>2</v>
      </c>
      <c r="I27" s="51"/>
      <c r="L27" s="14">
        <v>7</v>
      </c>
      <c r="M27" s="18"/>
      <c r="N27" s="21"/>
      <c r="O27" s="6" t="s">
        <v>21</v>
      </c>
      <c r="P27" s="218">
        <f>ROUND(Q27,1)</f>
        <v>2</v>
      </c>
      <c r="Q27" s="204">
        <f t="shared" si="0"/>
        <v>2.0100000000000002</v>
      </c>
      <c r="R27" s="204">
        <v>2.06</v>
      </c>
      <c r="S27" s="10">
        <v>2.06</v>
      </c>
      <c r="T27" s="212">
        <v>1.91</v>
      </c>
      <c r="U27" s="226">
        <v>1.82</v>
      </c>
      <c r="V27" s="212">
        <v>1.84</v>
      </c>
      <c r="W27" s="212">
        <v>1.75</v>
      </c>
      <c r="X27" s="204">
        <v>1.77</v>
      </c>
    </row>
    <row r="28" spans="2:24" ht="15.75">
      <c r="B28" s="3"/>
      <c r="C28" s="47"/>
      <c r="D28" s="81">
        <v>8</v>
      </c>
      <c r="E28" s="82"/>
      <c r="F28" s="98"/>
      <c r="G28" s="84" t="s">
        <v>22</v>
      </c>
      <c r="H28" s="210">
        <v>1.1</v>
      </c>
      <c r="I28" s="51"/>
      <c r="L28" s="11">
        <v>8</v>
      </c>
      <c r="M28" s="19"/>
      <c r="N28" s="22"/>
      <c r="O28" s="7" t="s">
        <v>22</v>
      </c>
      <c r="P28" s="219">
        <f>ROUND(Q28,1)</f>
        <v>1.1</v>
      </c>
      <c r="Q28" s="205">
        <f t="shared" si="0"/>
        <v>1.0933333333333335</v>
      </c>
      <c r="R28" s="205">
        <v>1.17</v>
      </c>
      <c r="S28" s="9">
        <v>1.11</v>
      </c>
      <c r="T28" s="213">
        <v>1</v>
      </c>
      <c r="U28" s="227">
        <v>1.05</v>
      </c>
      <c r="V28" s="213">
        <v>1.08</v>
      </c>
      <c r="W28" s="213">
        <v>1.03</v>
      </c>
      <c r="X28" s="205">
        <v>1.02</v>
      </c>
    </row>
    <row r="29" spans="2:21" ht="9" customHeight="1">
      <c r="B29" s="3"/>
      <c r="C29" s="47"/>
      <c r="D29" s="47"/>
      <c r="E29" s="47"/>
      <c r="F29" s="47"/>
      <c r="G29" s="47"/>
      <c r="H29" s="47"/>
      <c r="I29" s="51"/>
      <c r="U29" s="214"/>
    </row>
    <row r="30" spans="2:21" ht="12.75">
      <c r="B30" s="3"/>
      <c r="C30" s="47"/>
      <c r="D30" s="47"/>
      <c r="E30" s="47"/>
      <c r="F30" s="47"/>
      <c r="G30" s="47"/>
      <c r="H30" s="47"/>
      <c r="I30" s="51"/>
      <c r="Q30" s="25" t="s">
        <v>102</v>
      </c>
      <c r="R30" s="25"/>
      <c r="U30" s="214"/>
    </row>
    <row r="31" spans="2:21" ht="12.75">
      <c r="B31" s="3"/>
      <c r="C31" s="47"/>
      <c r="D31" s="47"/>
      <c r="E31" s="47"/>
      <c r="F31" s="47"/>
      <c r="G31" s="47"/>
      <c r="H31" s="47"/>
      <c r="I31" s="51"/>
      <c r="U31" s="214"/>
    </row>
    <row r="32" spans="2:21" ht="12.75">
      <c r="B32" s="3"/>
      <c r="C32" s="47"/>
      <c r="D32" s="47"/>
      <c r="E32" s="47"/>
      <c r="F32" s="47"/>
      <c r="G32" s="47"/>
      <c r="H32" s="47"/>
      <c r="I32" s="51"/>
      <c r="U32" s="214"/>
    </row>
    <row r="33" spans="2:9" ht="12.75">
      <c r="B33" s="3"/>
      <c r="C33" s="47"/>
      <c r="D33" s="47"/>
      <c r="E33" s="47"/>
      <c r="F33" s="47"/>
      <c r="G33" s="47"/>
      <c r="H33" s="47"/>
      <c r="I33" s="51"/>
    </row>
    <row r="34" spans="2:9" ht="12.75">
      <c r="B34" s="3"/>
      <c r="C34" s="47"/>
      <c r="D34" s="47"/>
      <c r="E34" s="47"/>
      <c r="F34" s="47"/>
      <c r="G34" s="47"/>
      <c r="H34" s="47"/>
      <c r="I34" s="51"/>
    </row>
    <row r="35" spans="2:9" ht="12.75">
      <c r="B35" s="3"/>
      <c r="C35" s="47"/>
      <c r="D35" s="47"/>
      <c r="E35" s="47"/>
      <c r="F35" s="47"/>
      <c r="G35" s="47"/>
      <c r="H35" s="47"/>
      <c r="I35" s="51"/>
    </row>
    <row r="36" spans="2:9" ht="12.75">
      <c r="B36" s="3"/>
      <c r="C36" s="47"/>
      <c r="D36" s="47"/>
      <c r="E36" s="47"/>
      <c r="F36" s="47"/>
      <c r="G36" s="47"/>
      <c r="H36" s="47"/>
      <c r="I36" s="51"/>
    </row>
    <row r="37" spans="2:9" ht="12.75">
      <c r="B37" s="3"/>
      <c r="C37" s="47"/>
      <c r="D37" s="47"/>
      <c r="E37" s="47"/>
      <c r="F37" s="47"/>
      <c r="G37" s="47"/>
      <c r="H37" s="47"/>
      <c r="I37" s="51"/>
    </row>
    <row r="38" spans="2:9" ht="12.75">
      <c r="B38" s="3"/>
      <c r="C38" s="47"/>
      <c r="D38" s="47"/>
      <c r="E38" s="47"/>
      <c r="F38" s="47"/>
      <c r="G38" s="47"/>
      <c r="H38" s="47"/>
      <c r="I38" s="51"/>
    </row>
    <row r="39" spans="2:9" ht="12.75">
      <c r="B39" s="3"/>
      <c r="C39" s="47"/>
      <c r="D39" s="47"/>
      <c r="E39" s="47"/>
      <c r="F39" s="47"/>
      <c r="G39" s="47"/>
      <c r="H39" s="47"/>
      <c r="I39" s="51"/>
    </row>
    <row r="40" spans="2:10" ht="12.75">
      <c r="B40" s="3"/>
      <c r="C40" s="47"/>
      <c r="D40" s="47"/>
      <c r="E40" s="47"/>
      <c r="F40" s="47"/>
      <c r="G40" s="47"/>
      <c r="H40" s="47"/>
      <c r="I40" s="51"/>
      <c r="J40" s="216" t="s">
        <v>128</v>
      </c>
    </row>
    <row r="41" spans="2:9" ht="12.75">
      <c r="B41" s="3"/>
      <c r="C41" s="47"/>
      <c r="D41" s="47"/>
      <c r="E41" s="47"/>
      <c r="F41" s="47"/>
      <c r="G41" s="47"/>
      <c r="H41" s="47"/>
      <c r="I41" s="51"/>
    </row>
    <row r="42" spans="2:9" ht="12.75">
      <c r="B42" s="3"/>
      <c r="C42" s="47"/>
      <c r="D42" s="47"/>
      <c r="E42" s="47"/>
      <c r="F42" s="47"/>
      <c r="G42" s="47"/>
      <c r="H42" s="47"/>
      <c r="I42" s="51"/>
    </row>
    <row r="43" spans="2:9" ht="12.75">
      <c r="B43" s="3"/>
      <c r="C43" s="47"/>
      <c r="D43" s="47"/>
      <c r="E43" s="47"/>
      <c r="F43" s="47"/>
      <c r="G43" s="47"/>
      <c r="H43" s="47"/>
      <c r="I43" s="51"/>
    </row>
    <row r="44" spans="2:9" ht="12.75">
      <c r="B44" s="3"/>
      <c r="C44" s="47"/>
      <c r="D44" s="47"/>
      <c r="E44" s="47"/>
      <c r="F44" s="47"/>
      <c r="G44" s="47"/>
      <c r="H44" s="47"/>
      <c r="I44" s="51"/>
    </row>
    <row r="45" spans="2:9" ht="12.75">
      <c r="B45" s="3"/>
      <c r="C45" s="47"/>
      <c r="D45" s="47"/>
      <c r="E45" s="47"/>
      <c r="F45" s="47"/>
      <c r="G45" s="47"/>
      <c r="H45" s="47"/>
      <c r="I45" s="51"/>
    </row>
    <row r="46" spans="2:9" ht="15.75" customHeight="1">
      <c r="B46" s="3"/>
      <c r="C46" s="47"/>
      <c r="D46" s="47"/>
      <c r="E46" s="47"/>
      <c r="F46" s="47"/>
      <c r="G46" s="47"/>
      <c r="H46" s="47"/>
      <c r="I46" s="51"/>
    </row>
    <row r="47" spans="2:9" ht="9.75" customHeight="1">
      <c r="B47" s="3"/>
      <c r="C47" s="47"/>
      <c r="D47" s="47"/>
      <c r="E47" s="99"/>
      <c r="F47" s="47"/>
      <c r="G47" s="47"/>
      <c r="H47" s="47"/>
      <c r="I47" s="51"/>
    </row>
    <row r="48" spans="2:9" ht="18.75">
      <c r="B48" s="3"/>
      <c r="C48" s="47"/>
      <c r="D48" s="100" t="s">
        <v>23</v>
      </c>
      <c r="E48" s="50"/>
      <c r="F48" s="101"/>
      <c r="G48" s="197" t="s">
        <v>130</v>
      </c>
      <c r="H48" s="50"/>
      <c r="I48" s="51"/>
    </row>
    <row r="49" spans="2:9" ht="15">
      <c r="B49" s="3"/>
      <c r="C49" s="47"/>
      <c r="D49" s="102" t="s">
        <v>45</v>
      </c>
      <c r="E49" s="102" t="s">
        <v>24</v>
      </c>
      <c r="F49" s="103"/>
      <c r="G49" s="198"/>
      <c r="H49" s="65"/>
      <c r="I49" s="51"/>
    </row>
    <row r="50" spans="2:9" ht="15">
      <c r="B50" s="3"/>
      <c r="C50" s="47"/>
      <c r="D50" s="104">
        <v>0.9</v>
      </c>
      <c r="E50" s="105">
        <v>1.282</v>
      </c>
      <c r="F50" s="106"/>
      <c r="G50" s="199" t="s">
        <v>41</v>
      </c>
      <c r="H50" s="232">
        <v>20000</v>
      </c>
      <c r="I50" s="51"/>
    </row>
    <row r="51" spans="2:9" ht="15">
      <c r="B51" s="3"/>
      <c r="C51" s="47"/>
      <c r="D51" s="104">
        <v>0.95</v>
      </c>
      <c r="E51" s="105">
        <v>1.645</v>
      </c>
      <c r="F51" s="106"/>
      <c r="G51" s="200" t="s">
        <v>42</v>
      </c>
      <c r="H51" s="233">
        <v>200000</v>
      </c>
      <c r="I51" s="51"/>
    </row>
    <row r="52" spans="2:9" ht="15">
      <c r="B52" s="3"/>
      <c r="C52" s="47"/>
      <c r="D52" s="104">
        <v>0.995</v>
      </c>
      <c r="E52" s="105">
        <v>2.576</v>
      </c>
      <c r="F52" s="106"/>
      <c r="G52" s="200" t="s">
        <v>43</v>
      </c>
      <c r="H52" s="233">
        <v>1001000</v>
      </c>
      <c r="I52" s="51"/>
    </row>
    <row r="53" spans="2:9" ht="15">
      <c r="B53" s="3"/>
      <c r="C53" s="47"/>
      <c r="D53" s="104">
        <v>0.999</v>
      </c>
      <c r="E53" s="107">
        <v>3.09</v>
      </c>
      <c r="F53" s="108"/>
      <c r="G53" s="201" t="s">
        <v>44</v>
      </c>
      <c r="H53" s="234">
        <v>2003000</v>
      </c>
      <c r="I53" s="51"/>
    </row>
    <row r="54" spans="2:9" ht="8.25" customHeight="1">
      <c r="B54" s="4"/>
      <c r="C54" s="99"/>
      <c r="D54" s="99"/>
      <c r="E54" s="99"/>
      <c r="F54" s="99"/>
      <c r="G54" s="99"/>
      <c r="H54" s="99"/>
      <c r="I54" s="109"/>
    </row>
    <row r="55" ht="12.75"/>
    <row r="56" ht="12.75"/>
    <row r="57" ht="12.75"/>
    <row r="58" ht="12.75"/>
    <row r="59" ht="12.75"/>
    <row r="60" ht="12.75"/>
    <row r="61" ht="12.75"/>
  </sheetData>
  <sheetProtection/>
  <hyperlinks>
    <hyperlink ref="Q30" r:id="rId1" display="https://www.dot.ny.gov/divisions/operating/osss/highway/accident-rates?nd=nysdot"/>
  </hyperlinks>
  <printOptions/>
  <pageMargins left="0.83" right="0.63" top="0.44" bottom="0.28" header="0.45" footer="0.27"/>
  <pageSetup horizontalDpi="600" verticalDpi="600" orientation="portrait" scale="99" r:id="rId5"/>
  <headerFooter alignWithMargins="0">
    <oddFooter>&amp;LAlaska HSIP Handbook&amp;CA-2&amp;REffective January 1, 2017</oddFooter>
  </headerFooter>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B2:Z64"/>
  <sheetViews>
    <sheetView showGridLines="0" view="pageBreakPreview" zoomScaleSheetLayoutView="100" zoomScalePageLayoutView="0" workbookViewId="0" topLeftCell="A1">
      <selection activeCell="C3" sqref="C3"/>
    </sheetView>
  </sheetViews>
  <sheetFormatPr defaultColWidth="11.421875" defaultRowHeight="12.75"/>
  <cols>
    <col min="1" max="1" width="2.140625" style="114" customWidth="1"/>
    <col min="2" max="2" width="1.28515625" style="114" customWidth="1"/>
    <col min="3" max="3" width="13.7109375" style="114" customWidth="1"/>
    <col min="4" max="4" width="24.7109375" style="114" customWidth="1"/>
    <col min="5" max="5" width="7.28125" style="114" customWidth="1"/>
    <col min="6" max="6" width="14.7109375" style="114" customWidth="1"/>
    <col min="7" max="7" width="7.421875" style="114" customWidth="1"/>
    <col min="8" max="8" width="14.7109375" style="114" customWidth="1"/>
    <col min="9" max="12" width="5.7109375" style="114" customWidth="1"/>
    <col min="13" max="13" width="7.7109375" style="114" customWidth="1"/>
    <col min="14" max="14" width="5.7109375" style="114" customWidth="1"/>
    <col min="15" max="15" width="6.140625" style="114" bestFit="1" customWidth="1"/>
    <col min="16" max="16" width="8.7109375" style="114" customWidth="1"/>
    <col min="17" max="19" width="6.7109375" style="114" customWidth="1"/>
    <col min="20" max="20" width="8.140625" style="114" customWidth="1"/>
    <col min="21" max="21" width="40.8515625" style="114" customWidth="1"/>
    <col min="22" max="22" width="1.7109375" style="114" customWidth="1"/>
    <col min="23" max="23" width="6.00390625" style="114" customWidth="1"/>
    <col min="24" max="24" width="12.28125" style="114" customWidth="1"/>
    <col min="25" max="25" width="12.140625" style="114" customWidth="1"/>
    <col min="26" max="16384" width="11.421875" style="114" customWidth="1"/>
  </cols>
  <sheetData>
    <row r="1" ht="4.5" customHeight="1"/>
    <row r="2" spans="2:22" ht="6.75" customHeight="1">
      <c r="B2" s="137"/>
      <c r="C2" s="138"/>
      <c r="D2" s="138"/>
      <c r="E2" s="138"/>
      <c r="F2" s="138"/>
      <c r="G2" s="138"/>
      <c r="H2" s="138"/>
      <c r="I2" s="138"/>
      <c r="J2" s="139"/>
      <c r="K2" s="138"/>
      <c r="L2" s="138"/>
      <c r="M2" s="138"/>
      <c r="N2" s="138"/>
      <c r="O2" s="138"/>
      <c r="P2" s="138"/>
      <c r="Q2" s="138"/>
      <c r="R2" s="138"/>
      <c r="S2" s="138"/>
      <c r="T2" s="138"/>
      <c r="U2" s="138"/>
      <c r="V2" s="140"/>
    </row>
    <row r="3" spans="2:22" ht="12.75">
      <c r="B3" s="141"/>
      <c r="C3" s="37"/>
      <c r="D3" s="37"/>
      <c r="E3" s="37"/>
      <c r="F3" s="37"/>
      <c r="G3" s="37"/>
      <c r="H3" s="37"/>
      <c r="I3" s="37"/>
      <c r="J3" s="37"/>
      <c r="K3" s="37"/>
      <c r="L3" s="37"/>
      <c r="M3" s="37"/>
      <c r="N3" s="37"/>
      <c r="O3" s="37"/>
      <c r="P3" s="37"/>
      <c r="Q3" s="37"/>
      <c r="R3" s="37"/>
      <c r="S3" s="37"/>
      <c r="T3" s="37"/>
      <c r="U3" s="37"/>
      <c r="V3" s="142"/>
    </row>
    <row r="4" spans="2:22" ht="28.5" customHeight="1">
      <c r="B4" s="141"/>
      <c r="C4" s="37"/>
      <c r="D4" s="37"/>
      <c r="E4" s="37"/>
      <c r="F4" s="37"/>
      <c r="G4" s="37"/>
      <c r="H4" s="37"/>
      <c r="I4" s="37"/>
      <c r="J4" s="37"/>
      <c r="K4" s="37"/>
      <c r="L4" s="37"/>
      <c r="M4" s="37"/>
      <c r="N4" s="37"/>
      <c r="O4" s="37"/>
      <c r="P4" s="37"/>
      <c r="Q4" s="37"/>
      <c r="R4" s="37"/>
      <c r="S4" s="37"/>
      <c r="T4" s="37"/>
      <c r="U4" s="37"/>
      <c r="V4" s="142"/>
    </row>
    <row r="5" spans="2:22" ht="12.75">
      <c r="B5" s="141"/>
      <c r="C5" s="37"/>
      <c r="D5" s="37"/>
      <c r="E5" s="37"/>
      <c r="F5" s="37"/>
      <c r="G5" s="37"/>
      <c r="H5" s="37"/>
      <c r="I5" s="37"/>
      <c r="J5" s="37"/>
      <c r="K5" s="37"/>
      <c r="L5" s="37"/>
      <c r="M5" s="37"/>
      <c r="N5" s="37"/>
      <c r="O5" s="37"/>
      <c r="P5" s="37"/>
      <c r="Q5" s="37"/>
      <c r="R5" s="37"/>
      <c r="S5" s="37"/>
      <c r="T5" s="37"/>
      <c r="U5" s="37"/>
      <c r="V5" s="142"/>
    </row>
    <row r="6" spans="2:22" ht="12.75">
      <c r="B6" s="141"/>
      <c r="C6" s="37"/>
      <c r="D6" s="37"/>
      <c r="E6" s="37"/>
      <c r="F6" s="37"/>
      <c r="G6" s="37"/>
      <c r="H6" s="37"/>
      <c r="I6" s="37"/>
      <c r="J6" s="37"/>
      <c r="K6" s="37"/>
      <c r="L6" s="37"/>
      <c r="M6" s="37"/>
      <c r="N6" s="37"/>
      <c r="O6" s="37"/>
      <c r="P6" s="37"/>
      <c r="Q6" s="37"/>
      <c r="R6" s="37"/>
      <c r="S6" s="37"/>
      <c r="T6" s="37"/>
      <c r="U6" s="37"/>
      <c r="V6" s="142"/>
    </row>
    <row r="7" spans="2:22" ht="9.75" customHeight="1">
      <c r="B7" s="141"/>
      <c r="C7" s="37"/>
      <c r="D7" s="37" t="s">
        <v>131</v>
      </c>
      <c r="E7" s="37"/>
      <c r="F7" s="37"/>
      <c r="G7" s="37"/>
      <c r="H7" s="37"/>
      <c r="I7" s="37"/>
      <c r="J7" s="37"/>
      <c r="K7" s="37"/>
      <c r="L7" s="37"/>
      <c r="M7" s="37"/>
      <c r="N7" s="37"/>
      <c r="O7" s="37"/>
      <c r="P7" s="37"/>
      <c r="Q7" s="37"/>
      <c r="R7" s="37"/>
      <c r="S7" s="37"/>
      <c r="T7" s="37"/>
      <c r="U7" s="37"/>
      <c r="V7" s="142"/>
    </row>
    <row r="8" spans="2:22" ht="18.75">
      <c r="B8" s="141"/>
      <c r="C8" s="27" t="s">
        <v>7</v>
      </c>
      <c r="D8" s="245" t="s">
        <v>8</v>
      </c>
      <c r="E8" s="243"/>
      <c r="F8" s="243"/>
      <c r="G8" s="244"/>
      <c r="H8" s="37"/>
      <c r="I8" s="37"/>
      <c r="J8" s="37"/>
      <c r="K8" s="37"/>
      <c r="L8" s="37"/>
      <c r="M8" s="37"/>
      <c r="N8" s="37"/>
      <c r="O8" s="37"/>
      <c r="P8" s="37"/>
      <c r="Q8" s="37"/>
      <c r="R8" s="37"/>
      <c r="S8" s="37"/>
      <c r="T8" s="37"/>
      <c r="U8" s="37"/>
      <c r="V8" s="142"/>
    </row>
    <row r="9" spans="2:22" ht="15">
      <c r="B9" s="141"/>
      <c r="C9" s="28" t="s">
        <v>25</v>
      </c>
      <c r="D9" s="29" t="s">
        <v>26</v>
      </c>
      <c r="E9" s="242">
        <v>39448</v>
      </c>
      <c r="F9" s="243"/>
      <c r="G9" s="244"/>
      <c r="H9" s="37"/>
      <c r="I9" s="37"/>
      <c r="J9" s="37"/>
      <c r="K9" s="37"/>
      <c r="L9" s="37"/>
      <c r="M9" s="37"/>
      <c r="N9" s="37"/>
      <c r="O9" s="37"/>
      <c r="P9" s="37"/>
      <c r="Q9" s="37"/>
      <c r="R9" s="37"/>
      <c r="S9" s="37"/>
      <c r="T9" s="37"/>
      <c r="U9" s="37"/>
      <c r="V9" s="142"/>
    </row>
    <row r="10" spans="2:22" ht="15">
      <c r="B10" s="141"/>
      <c r="C10" s="30"/>
      <c r="D10" s="31" t="s">
        <v>2</v>
      </c>
      <c r="E10" s="242">
        <v>41274</v>
      </c>
      <c r="F10" s="243"/>
      <c r="G10" s="244"/>
      <c r="H10" s="37"/>
      <c r="I10" s="37"/>
      <c r="J10" s="37"/>
      <c r="K10" s="37"/>
      <c r="L10" s="37"/>
      <c r="M10" s="37"/>
      <c r="N10" s="37"/>
      <c r="O10" s="37"/>
      <c r="P10" s="37"/>
      <c r="Q10" s="37"/>
      <c r="R10" s="37"/>
      <c r="S10" s="37"/>
      <c r="T10" s="37"/>
      <c r="U10" s="37"/>
      <c r="V10" s="142"/>
    </row>
    <row r="11" spans="2:22" ht="15">
      <c r="B11" s="143"/>
      <c r="C11" s="27" t="s">
        <v>27</v>
      </c>
      <c r="D11" s="144"/>
      <c r="E11" s="246">
        <v>5</v>
      </c>
      <c r="F11" s="243"/>
      <c r="G11" s="244"/>
      <c r="H11" s="37"/>
      <c r="I11" s="145"/>
      <c r="J11" s="145"/>
      <c r="K11" s="145"/>
      <c r="L11" s="145"/>
      <c r="M11" s="37"/>
      <c r="N11" s="37"/>
      <c r="O11" s="37"/>
      <c r="P11" s="145"/>
      <c r="Q11" s="145"/>
      <c r="R11" s="145"/>
      <c r="S11" s="145"/>
      <c r="T11" s="145"/>
      <c r="U11" s="145"/>
      <c r="V11" s="142"/>
    </row>
    <row r="12" spans="2:22" ht="14.25" customHeight="1">
      <c r="B12" s="141"/>
      <c r="C12" s="32" t="s">
        <v>32</v>
      </c>
      <c r="D12" s="33"/>
      <c r="E12" s="247" t="s">
        <v>40</v>
      </c>
      <c r="F12" s="243"/>
      <c r="G12" s="244"/>
      <c r="H12" s="37"/>
      <c r="I12" s="37"/>
      <c r="J12" s="37"/>
      <c r="K12" s="37"/>
      <c r="L12" s="37"/>
      <c r="M12" s="37"/>
      <c r="N12" s="37"/>
      <c r="O12" s="37"/>
      <c r="P12" s="37"/>
      <c r="Q12" s="37"/>
      <c r="R12" s="37"/>
      <c r="S12" s="37"/>
      <c r="T12" s="37"/>
      <c r="U12" s="37"/>
      <c r="V12" s="142"/>
    </row>
    <row r="13" spans="2:22" ht="14.25" customHeight="1">
      <c r="B13" s="141"/>
      <c r="C13" s="32" t="s">
        <v>34</v>
      </c>
      <c r="D13" s="34"/>
      <c r="E13" s="242">
        <v>42767</v>
      </c>
      <c r="F13" s="243"/>
      <c r="G13" s="244"/>
      <c r="H13" s="37"/>
      <c r="I13" s="37"/>
      <c r="J13" s="37"/>
      <c r="K13" s="37"/>
      <c r="L13" s="37"/>
      <c r="M13" s="37"/>
      <c r="N13" s="37"/>
      <c r="O13" s="37"/>
      <c r="P13" s="37"/>
      <c r="Q13" s="37"/>
      <c r="R13" s="37"/>
      <c r="S13" s="37"/>
      <c r="T13" s="37"/>
      <c r="U13" s="37"/>
      <c r="V13" s="142"/>
    </row>
    <row r="14" spans="2:22" ht="10.5" customHeight="1">
      <c r="B14" s="141"/>
      <c r="C14" s="37"/>
      <c r="D14" s="37"/>
      <c r="E14" s="37"/>
      <c r="F14" s="37"/>
      <c r="G14" s="37"/>
      <c r="H14" s="37"/>
      <c r="I14" s="37"/>
      <c r="J14" s="37"/>
      <c r="K14" s="37"/>
      <c r="L14" s="37"/>
      <c r="M14" s="37"/>
      <c r="N14" s="37"/>
      <c r="O14" s="37"/>
      <c r="P14" s="37"/>
      <c r="Q14" s="37"/>
      <c r="R14" s="37"/>
      <c r="S14" s="37"/>
      <c r="T14" s="37"/>
      <c r="U14" s="37"/>
      <c r="V14" s="142"/>
    </row>
    <row r="15" spans="2:22" ht="10.5" customHeight="1">
      <c r="B15" s="141"/>
      <c r="C15" s="37"/>
      <c r="D15" s="37"/>
      <c r="E15" s="37"/>
      <c r="F15" s="37"/>
      <c r="G15" s="37"/>
      <c r="H15" s="37"/>
      <c r="I15" s="37"/>
      <c r="J15" s="37"/>
      <c r="K15" s="37"/>
      <c r="L15" s="37"/>
      <c r="M15" s="37"/>
      <c r="N15" s="37"/>
      <c r="O15" s="37"/>
      <c r="P15" s="37"/>
      <c r="Q15" s="37"/>
      <c r="R15" s="37"/>
      <c r="S15" s="37"/>
      <c r="T15" s="37"/>
      <c r="U15" s="37"/>
      <c r="V15" s="142"/>
    </row>
    <row r="16" spans="2:22" ht="10.5" customHeight="1">
      <c r="B16" s="141"/>
      <c r="C16" s="40" t="s">
        <v>61</v>
      </c>
      <c r="D16" s="41"/>
      <c r="E16" s="41"/>
      <c r="F16" s="41"/>
      <c r="G16" s="41"/>
      <c r="H16" s="147"/>
      <c r="I16" s="222"/>
      <c r="J16" s="222"/>
      <c r="K16" s="222"/>
      <c r="L16" s="222"/>
      <c r="M16" s="222"/>
      <c r="N16" s="222"/>
      <c r="O16" s="222"/>
      <c r="P16" s="222"/>
      <c r="Q16" s="222"/>
      <c r="R16" s="222"/>
      <c r="S16" s="222"/>
      <c r="T16" s="220" t="s">
        <v>95</v>
      </c>
      <c r="U16" s="37"/>
      <c r="V16" s="142"/>
    </row>
    <row r="17" spans="2:22" s="181" customFormat="1" ht="15" customHeight="1">
      <c r="B17" s="146"/>
      <c r="C17" s="241" t="s">
        <v>105</v>
      </c>
      <c r="D17" s="241" t="s">
        <v>106</v>
      </c>
      <c r="E17" s="241" t="s">
        <v>107</v>
      </c>
      <c r="F17" s="241" t="s">
        <v>108</v>
      </c>
      <c r="G17" s="241" t="s">
        <v>109</v>
      </c>
      <c r="H17" s="241" t="s">
        <v>110</v>
      </c>
      <c r="I17" s="236" t="s">
        <v>3</v>
      </c>
      <c r="J17" s="236" t="s">
        <v>4</v>
      </c>
      <c r="K17" s="236" t="s">
        <v>5</v>
      </c>
      <c r="L17" s="236" t="s">
        <v>6</v>
      </c>
      <c r="M17" s="236" t="s">
        <v>111</v>
      </c>
      <c r="N17" s="236" t="s">
        <v>16</v>
      </c>
      <c r="O17" s="236" t="s">
        <v>112</v>
      </c>
      <c r="P17" s="236" t="s">
        <v>113</v>
      </c>
      <c r="Q17" s="236" t="s">
        <v>114</v>
      </c>
      <c r="R17" s="236" t="s">
        <v>115</v>
      </c>
      <c r="S17" s="236" t="s">
        <v>116</v>
      </c>
      <c r="T17" s="238" t="s">
        <v>117</v>
      </c>
      <c r="U17" s="35" t="s">
        <v>39</v>
      </c>
      <c r="V17" s="142"/>
    </row>
    <row r="18" spans="2:25" s="181" customFormat="1" ht="15" customHeight="1">
      <c r="B18" s="146"/>
      <c r="C18" s="236"/>
      <c r="D18" s="236"/>
      <c r="E18" s="236"/>
      <c r="F18" s="236"/>
      <c r="G18" s="236"/>
      <c r="H18" s="236"/>
      <c r="I18" s="236"/>
      <c r="J18" s="236"/>
      <c r="K18" s="236"/>
      <c r="L18" s="236"/>
      <c r="M18" s="236"/>
      <c r="N18" s="236"/>
      <c r="O18" s="236"/>
      <c r="P18" s="236"/>
      <c r="Q18" s="236"/>
      <c r="R18" s="236"/>
      <c r="S18" s="236"/>
      <c r="T18" s="238"/>
      <c r="U18" s="36"/>
      <c r="V18" s="142"/>
      <c r="Y18" s="221"/>
    </row>
    <row r="19" spans="2:22" s="181" customFormat="1" ht="15" customHeight="1">
      <c r="B19" s="146"/>
      <c r="C19" s="237"/>
      <c r="D19" s="237"/>
      <c r="E19" s="237"/>
      <c r="F19" s="237"/>
      <c r="G19" s="237"/>
      <c r="H19" s="237"/>
      <c r="I19" s="237"/>
      <c r="J19" s="237"/>
      <c r="K19" s="237"/>
      <c r="L19" s="237"/>
      <c r="M19" s="237"/>
      <c r="N19" s="237"/>
      <c r="O19" s="240"/>
      <c r="P19" s="240"/>
      <c r="Q19" s="240"/>
      <c r="R19" s="240"/>
      <c r="S19" s="240"/>
      <c r="T19" s="239"/>
      <c r="U19" s="36"/>
      <c r="V19" s="142"/>
    </row>
    <row r="20" spans="2:26" ht="12.75">
      <c r="B20" s="179"/>
      <c r="C20" s="155"/>
      <c r="D20" s="156" t="s">
        <v>51</v>
      </c>
      <c r="E20" s="157">
        <v>16.25</v>
      </c>
      <c r="F20" s="158" t="s">
        <v>81</v>
      </c>
      <c r="G20" s="157">
        <v>18.75</v>
      </c>
      <c r="H20" s="158" t="s">
        <v>82</v>
      </c>
      <c r="I20" s="159">
        <v>60</v>
      </c>
      <c r="J20" s="159">
        <v>35</v>
      </c>
      <c r="K20" s="159">
        <v>15</v>
      </c>
      <c r="L20" s="160">
        <v>1</v>
      </c>
      <c r="M20" s="161">
        <v>17000</v>
      </c>
      <c r="N20" s="162">
        <v>2</v>
      </c>
      <c r="O20" s="116">
        <f aca="true" t="shared" si="0" ref="O20:O64">IF(G20-E20&lt;&gt;0,G20-E20,0)</f>
        <v>2.5</v>
      </c>
      <c r="P20" s="117">
        <f aca="true" t="shared" si="1" ref="P20:P58">IF(M20*O20&lt;&gt;0,(M20*O20*365*$E$11)/1000000,"")</f>
        <v>77.5625</v>
      </c>
      <c r="Q20" s="182">
        <f aca="true" t="shared" si="2" ref="Q20:Q64">SUM(I20:L20)</f>
        <v>111</v>
      </c>
      <c r="R20" s="183">
        <f aca="true" t="shared" si="3" ref="R20:R64">IF(Q20&lt;&gt;0,(Q20)/(P20),"")</f>
        <v>1.4311039484286865</v>
      </c>
      <c r="S20" s="184">
        <f>IF(N20&lt;&gt;0,LOOKUP(N20,'Formulas&amp;Factors'!$D$21:$D$28,'Formulas&amp;Factors'!$H$21:$H$28),"")</f>
        <v>1.9</v>
      </c>
      <c r="T20" s="185">
        <f aca="true" t="shared" si="4" ref="T20:T64">IF(SUM(K20:L20)&lt;&gt;0,(L20*1+K20*0.001),"")</f>
        <v>1.015</v>
      </c>
      <c r="U20" s="195"/>
      <c r="V20" s="180"/>
      <c r="Z20" s="186"/>
    </row>
    <row r="21" spans="2:26" ht="12.75">
      <c r="B21" s="179"/>
      <c r="C21" s="155"/>
      <c r="D21" s="156" t="s">
        <v>53</v>
      </c>
      <c r="E21" s="157">
        <v>0</v>
      </c>
      <c r="F21" s="158" t="s">
        <v>83</v>
      </c>
      <c r="G21" s="157">
        <v>2</v>
      </c>
      <c r="H21" s="158" t="s">
        <v>84</v>
      </c>
      <c r="I21" s="159">
        <v>55</v>
      </c>
      <c r="J21" s="159">
        <v>30</v>
      </c>
      <c r="K21" s="159">
        <v>12</v>
      </c>
      <c r="L21" s="160">
        <v>1</v>
      </c>
      <c r="M21" s="161">
        <v>13000</v>
      </c>
      <c r="N21" s="162">
        <v>4</v>
      </c>
      <c r="O21" s="116">
        <f t="shared" si="0"/>
        <v>2</v>
      </c>
      <c r="P21" s="117">
        <f t="shared" si="1"/>
        <v>47.45</v>
      </c>
      <c r="Q21" s="182">
        <f t="shared" si="2"/>
        <v>98</v>
      </c>
      <c r="R21" s="183">
        <f t="shared" si="3"/>
        <v>2.065331928345627</v>
      </c>
      <c r="S21" s="184">
        <f>IF(N21&lt;&gt;0,LOOKUP(N21,'Formulas&amp;Factors'!$D$21:$D$28,'Formulas&amp;Factors'!$H$21:$H$28),"")</f>
        <v>0.9</v>
      </c>
      <c r="T21" s="185">
        <f t="shared" si="4"/>
        <v>1.012</v>
      </c>
      <c r="U21" s="195"/>
      <c r="V21" s="180"/>
      <c r="Z21" s="186"/>
    </row>
    <row r="22" spans="2:26" ht="12.75">
      <c r="B22" s="179"/>
      <c r="C22" s="155"/>
      <c r="D22" s="156" t="s">
        <v>47</v>
      </c>
      <c r="E22" s="157">
        <v>5.125</v>
      </c>
      <c r="F22" s="158" t="s">
        <v>85</v>
      </c>
      <c r="G22" s="157">
        <v>6.125</v>
      </c>
      <c r="H22" s="158" t="s">
        <v>86</v>
      </c>
      <c r="I22" s="159">
        <v>33</v>
      </c>
      <c r="J22" s="159">
        <v>20</v>
      </c>
      <c r="K22" s="159">
        <v>5</v>
      </c>
      <c r="L22" s="160">
        <v>1</v>
      </c>
      <c r="M22" s="161">
        <v>10000</v>
      </c>
      <c r="N22" s="162">
        <v>5</v>
      </c>
      <c r="O22" s="116">
        <f t="shared" si="0"/>
        <v>1</v>
      </c>
      <c r="P22" s="117">
        <f t="shared" si="1"/>
        <v>18.25</v>
      </c>
      <c r="Q22" s="182">
        <f t="shared" si="2"/>
        <v>59</v>
      </c>
      <c r="R22" s="183">
        <f t="shared" si="3"/>
        <v>3.232876712328767</v>
      </c>
      <c r="S22" s="184">
        <f>IF(N22&lt;&gt;0,LOOKUP(N22,'Formulas&amp;Factors'!$D$21:$D$28,'Formulas&amp;Factors'!$H$21:$H$28),"")</f>
        <v>2.3</v>
      </c>
      <c r="T22" s="185">
        <f t="shared" si="4"/>
        <v>1.005</v>
      </c>
      <c r="U22" s="195"/>
      <c r="V22" s="180"/>
      <c r="Z22" s="186"/>
    </row>
    <row r="23" spans="2:26" ht="12.75">
      <c r="B23" s="179"/>
      <c r="C23" s="155"/>
      <c r="D23" s="156" t="s">
        <v>50</v>
      </c>
      <c r="E23" s="157">
        <v>18.25</v>
      </c>
      <c r="F23" s="158" t="s">
        <v>87</v>
      </c>
      <c r="G23" s="157">
        <v>20.25</v>
      </c>
      <c r="H23" s="158" t="s">
        <v>88</v>
      </c>
      <c r="I23" s="159">
        <v>75</v>
      </c>
      <c r="J23" s="159">
        <v>40</v>
      </c>
      <c r="K23" s="159">
        <v>13</v>
      </c>
      <c r="L23" s="160"/>
      <c r="M23" s="161">
        <v>14000</v>
      </c>
      <c r="N23" s="162">
        <v>3</v>
      </c>
      <c r="O23" s="116">
        <f t="shared" si="0"/>
        <v>2</v>
      </c>
      <c r="P23" s="117">
        <f t="shared" si="1"/>
        <v>51.1</v>
      </c>
      <c r="Q23" s="182">
        <f t="shared" si="2"/>
        <v>128</v>
      </c>
      <c r="R23" s="183">
        <f t="shared" si="3"/>
        <v>2.5048923679060664</v>
      </c>
      <c r="S23" s="184">
        <f>IF(N23&lt;&gt;0,LOOKUP(N23,'Formulas&amp;Factors'!$D$21:$D$28,'Formulas&amp;Factors'!$H$21:$H$28),"")</f>
        <v>1.3</v>
      </c>
      <c r="T23" s="185">
        <f t="shared" si="4"/>
        <v>0.013000000000000001</v>
      </c>
      <c r="U23" s="195"/>
      <c r="V23" s="180"/>
      <c r="Z23" s="186"/>
    </row>
    <row r="24" spans="2:26" ht="12.75">
      <c r="B24" s="179"/>
      <c r="C24" s="155"/>
      <c r="D24" s="156" t="s">
        <v>49</v>
      </c>
      <c r="E24" s="157">
        <v>7.125</v>
      </c>
      <c r="F24" s="158" t="s">
        <v>96</v>
      </c>
      <c r="G24" s="157">
        <v>11.25</v>
      </c>
      <c r="H24" s="158" t="s">
        <v>97</v>
      </c>
      <c r="I24" s="159">
        <v>30</v>
      </c>
      <c r="J24" s="159">
        <v>12</v>
      </c>
      <c r="K24" s="159">
        <v>10</v>
      </c>
      <c r="L24" s="160"/>
      <c r="M24" s="161">
        <v>16000</v>
      </c>
      <c r="N24" s="162">
        <v>4</v>
      </c>
      <c r="O24" s="116">
        <f t="shared" si="0"/>
        <v>4.125</v>
      </c>
      <c r="P24" s="117">
        <f t="shared" si="1"/>
        <v>120.45</v>
      </c>
      <c r="Q24" s="182">
        <f t="shared" si="2"/>
        <v>52</v>
      </c>
      <c r="R24" s="183">
        <f t="shared" si="3"/>
        <v>0.43171440431714403</v>
      </c>
      <c r="S24" s="184">
        <f>IF(N24&lt;&gt;0,LOOKUP(N24,'Formulas&amp;Factors'!$D$21:$D$28,'Formulas&amp;Factors'!$H$21:$H$28),"")</f>
        <v>0.9</v>
      </c>
      <c r="T24" s="185">
        <f t="shared" si="4"/>
        <v>0.01</v>
      </c>
      <c r="U24" s="195"/>
      <c r="V24" s="180"/>
      <c r="Z24" s="186"/>
    </row>
    <row r="25" spans="2:26" ht="12.75">
      <c r="B25" s="179"/>
      <c r="C25" s="155"/>
      <c r="D25" s="156" t="s">
        <v>52</v>
      </c>
      <c r="E25" s="157">
        <v>158.25</v>
      </c>
      <c r="F25" s="158" t="s">
        <v>99</v>
      </c>
      <c r="G25" s="157">
        <v>159.375</v>
      </c>
      <c r="H25" s="158" t="s">
        <v>98</v>
      </c>
      <c r="I25" s="159">
        <v>45</v>
      </c>
      <c r="J25" s="159">
        <v>24</v>
      </c>
      <c r="K25" s="159">
        <v>8</v>
      </c>
      <c r="L25" s="160"/>
      <c r="M25" s="161">
        <v>8000</v>
      </c>
      <c r="N25" s="162">
        <v>1</v>
      </c>
      <c r="O25" s="116">
        <f t="shared" si="0"/>
        <v>1.125</v>
      </c>
      <c r="P25" s="117">
        <f t="shared" si="1"/>
        <v>16.425</v>
      </c>
      <c r="Q25" s="182">
        <f t="shared" si="2"/>
        <v>77</v>
      </c>
      <c r="R25" s="183">
        <f t="shared" si="3"/>
        <v>4.687975646879757</v>
      </c>
      <c r="S25" s="184">
        <f>IF(N25&lt;&gt;0,LOOKUP(N25,'Formulas&amp;Factors'!$D$21:$D$28,'Formulas&amp;Factors'!$H$21:$H$28),"")</f>
        <v>1.6</v>
      </c>
      <c r="T25" s="185">
        <f t="shared" si="4"/>
        <v>0.008</v>
      </c>
      <c r="U25" s="195"/>
      <c r="V25" s="180"/>
      <c r="Z25" s="186"/>
    </row>
    <row r="26" spans="2:26" ht="12.75">
      <c r="B26" s="179"/>
      <c r="C26" s="155"/>
      <c r="D26" s="156" t="s">
        <v>54</v>
      </c>
      <c r="E26" s="157">
        <v>19.375</v>
      </c>
      <c r="F26" s="158" t="s">
        <v>89</v>
      </c>
      <c r="G26" s="157">
        <v>25.875</v>
      </c>
      <c r="H26" s="158" t="s">
        <v>90</v>
      </c>
      <c r="I26" s="159">
        <v>18</v>
      </c>
      <c r="J26" s="159">
        <v>12</v>
      </c>
      <c r="K26" s="159">
        <v>7</v>
      </c>
      <c r="L26" s="160"/>
      <c r="M26" s="161">
        <v>10000</v>
      </c>
      <c r="N26" s="162">
        <v>3</v>
      </c>
      <c r="O26" s="116">
        <f t="shared" si="0"/>
        <v>6.5</v>
      </c>
      <c r="P26" s="117">
        <f t="shared" si="1"/>
        <v>118.625</v>
      </c>
      <c r="Q26" s="182">
        <f t="shared" si="2"/>
        <v>37</v>
      </c>
      <c r="R26" s="183">
        <f t="shared" si="3"/>
        <v>0.3119072708113804</v>
      </c>
      <c r="S26" s="184">
        <f>IF(N26&lt;&gt;0,LOOKUP(N26,'Formulas&amp;Factors'!$D$21:$D$28,'Formulas&amp;Factors'!$H$21:$H$28),"")</f>
        <v>1.3</v>
      </c>
      <c r="T26" s="185">
        <f t="shared" si="4"/>
        <v>0.007</v>
      </c>
      <c r="U26" s="195"/>
      <c r="V26" s="180"/>
      <c r="Z26" s="186"/>
    </row>
    <row r="27" spans="2:26" ht="12.75">
      <c r="B27" s="179"/>
      <c r="C27" s="155"/>
      <c r="D27" s="156" t="s">
        <v>48</v>
      </c>
      <c r="E27" s="157">
        <v>25.75</v>
      </c>
      <c r="F27" s="158" t="s">
        <v>91</v>
      </c>
      <c r="G27" s="157">
        <v>35.25</v>
      </c>
      <c r="H27" s="158" t="s">
        <v>92</v>
      </c>
      <c r="I27" s="159">
        <v>26</v>
      </c>
      <c r="J27" s="159">
        <v>12</v>
      </c>
      <c r="K27" s="159">
        <v>4</v>
      </c>
      <c r="L27" s="160"/>
      <c r="M27" s="161">
        <v>5000</v>
      </c>
      <c r="N27" s="162">
        <v>6</v>
      </c>
      <c r="O27" s="116">
        <f t="shared" si="0"/>
        <v>9.5</v>
      </c>
      <c r="P27" s="117">
        <f t="shared" si="1"/>
        <v>86.6875</v>
      </c>
      <c r="Q27" s="182">
        <f t="shared" si="2"/>
        <v>42</v>
      </c>
      <c r="R27" s="183">
        <f t="shared" si="3"/>
        <v>0.4844989185291997</v>
      </c>
      <c r="S27" s="184">
        <f>IF(N27&lt;&gt;0,LOOKUP(N27,'Formulas&amp;Factors'!$D$21:$D$28,'Formulas&amp;Factors'!$H$21:$H$28),"")</f>
        <v>2</v>
      </c>
      <c r="T27" s="185">
        <f t="shared" si="4"/>
        <v>0.004</v>
      </c>
      <c r="U27" s="195"/>
      <c r="V27" s="180"/>
      <c r="Z27" s="186"/>
    </row>
    <row r="28" spans="2:26" ht="12.75">
      <c r="B28" s="179"/>
      <c r="C28" s="155"/>
      <c r="D28" s="156" t="s">
        <v>46</v>
      </c>
      <c r="E28" s="157">
        <v>14.75</v>
      </c>
      <c r="F28" s="158" t="s">
        <v>93</v>
      </c>
      <c r="G28" s="157">
        <v>15.375</v>
      </c>
      <c r="H28" s="158" t="s">
        <v>94</v>
      </c>
      <c r="I28" s="159">
        <v>12</v>
      </c>
      <c r="J28" s="159">
        <v>5</v>
      </c>
      <c r="K28" s="159">
        <v>3</v>
      </c>
      <c r="L28" s="160"/>
      <c r="M28" s="161">
        <v>13000</v>
      </c>
      <c r="N28" s="162">
        <v>2</v>
      </c>
      <c r="O28" s="116">
        <f t="shared" si="0"/>
        <v>0.625</v>
      </c>
      <c r="P28" s="117">
        <f t="shared" si="1"/>
        <v>14.828125</v>
      </c>
      <c r="Q28" s="182">
        <f t="shared" si="2"/>
        <v>20</v>
      </c>
      <c r="R28" s="183">
        <f t="shared" si="3"/>
        <v>1.3487881981032666</v>
      </c>
      <c r="S28" s="184">
        <f>IF(N28&lt;&gt;0,LOOKUP(N28,'Formulas&amp;Factors'!$D$21:$D$28,'Formulas&amp;Factors'!$H$21:$H$28),"")</f>
        <v>1.9</v>
      </c>
      <c r="T28" s="185">
        <f t="shared" si="4"/>
        <v>0.003</v>
      </c>
      <c r="U28" s="195"/>
      <c r="V28" s="180"/>
      <c r="Z28" s="186"/>
    </row>
    <row r="29" spans="2:26" ht="12.75">
      <c r="B29" s="179"/>
      <c r="C29" s="155"/>
      <c r="D29" s="158"/>
      <c r="E29" s="157"/>
      <c r="F29" s="158"/>
      <c r="G29" s="157"/>
      <c r="H29" s="158"/>
      <c r="I29" s="159"/>
      <c r="J29" s="159"/>
      <c r="K29" s="159"/>
      <c r="L29" s="160"/>
      <c r="M29" s="161"/>
      <c r="N29" s="162"/>
      <c r="O29" s="116">
        <f t="shared" si="0"/>
        <v>0</v>
      </c>
      <c r="P29" s="117">
        <f t="shared" si="1"/>
      </c>
      <c r="Q29" s="182">
        <f t="shared" si="2"/>
        <v>0</v>
      </c>
      <c r="R29" s="183">
        <f t="shared" si="3"/>
      </c>
      <c r="S29" s="184">
        <f>IF(N29&lt;&gt;0,LOOKUP(N29,'Formulas&amp;Factors'!$D$21:$D$28,'Formulas&amp;Factors'!$H$21:$H$28),"")</f>
      </c>
      <c r="T29" s="185">
        <f t="shared" si="4"/>
      </c>
      <c r="U29" s="195"/>
      <c r="V29" s="180"/>
      <c r="W29" s="114">
        <f aca="true" t="shared" si="5" ref="W29:W41">IF(OR(L29&gt;0,K29&gt;1),1,"")</f>
      </c>
      <c r="Z29" s="186"/>
    </row>
    <row r="30" spans="2:26" ht="12.75">
      <c r="B30" s="179"/>
      <c r="C30" s="155"/>
      <c r="D30" s="158"/>
      <c r="E30" s="157"/>
      <c r="F30" s="158"/>
      <c r="G30" s="157"/>
      <c r="H30" s="158"/>
      <c r="I30" s="159"/>
      <c r="J30" s="159"/>
      <c r="K30" s="159"/>
      <c r="L30" s="160"/>
      <c r="M30" s="161"/>
      <c r="N30" s="162"/>
      <c r="O30" s="116">
        <f t="shared" si="0"/>
        <v>0</v>
      </c>
      <c r="P30" s="117">
        <f t="shared" si="1"/>
      </c>
      <c r="Q30" s="182">
        <f t="shared" si="2"/>
        <v>0</v>
      </c>
      <c r="R30" s="183">
        <f t="shared" si="3"/>
      </c>
      <c r="S30" s="184">
        <f>IF(N30&lt;&gt;0,LOOKUP(N30,'Formulas&amp;Factors'!$D$21:$D$28,'Formulas&amp;Factors'!$H$21:$H$28),"")</f>
      </c>
      <c r="T30" s="185">
        <f t="shared" si="4"/>
      </c>
      <c r="U30" s="195"/>
      <c r="V30" s="180"/>
      <c r="W30" s="114">
        <f t="shared" si="5"/>
      </c>
      <c r="Z30" s="186"/>
    </row>
    <row r="31" spans="2:26" ht="12.75">
      <c r="B31" s="179"/>
      <c r="C31" s="155"/>
      <c r="D31" s="158"/>
      <c r="E31" s="157"/>
      <c r="F31" s="158"/>
      <c r="G31" s="157"/>
      <c r="H31" s="158"/>
      <c r="I31" s="159"/>
      <c r="J31" s="159"/>
      <c r="K31" s="159"/>
      <c r="L31" s="160"/>
      <c r="M31" s="161"/>
      <c r="N31" s="162"/>
      <c r="O31" s="116">
        <f t="shared" si="0"/>
        <v>0</v>
      </c>
      <c r="P31" s="117">
        <f t="shared" si="1"/>
      </c>
      <c r="Q31" s="182">
        <f t="shared" si="2"/>
        <v>0</v>
      </c>
      <c r="R31" s="183">
        <f t="shared" si="3"/>
      </c>
      <c r="S31" s="184">
        <f>IF(N31&lt;&gt;0,LOOKUP(N31,'Formulas&amp;Factors'!$D$21:$D$28,'Formulas&amp;Factors'!$H$21:$H$28),"")</f>
      </c>
      <c r="T31" s="185">
        <f t="shared" si="4"/>
      </c>
      <c r="U31" s="195"/>
      <c r="V31" s="180"/>
      <c r="W31" s="114">
        <f t="shared" si="5"/>
      </c>
      <c r="Z31" s="186"/>
    </row>
    <row r="32" spans="2:23" ht="12.75">
      <c r="B32" s="179"/>
      <c r="C32" s="155"/>
      <c r="D32" s="158"/>
      <c r="E32" s="157"/>
      <c r="F32" s="158"/>
      <c r="G32" s="157"/>
      <c r="H32" s="158"/>
      <c r="I32" s="159"/>
      <c r="J32" s="159"/>
      <c r="K32" s="159"/>
      <c r="L32" s="160"/>
      <c r="M32" s="161"/>
      <c r="N32" s="162"/>
      <c r="O32" s="116">
        <f t="shared" si="0"/>
        <v>0</v>
      </c>
      <c r="P32" s="117">
        <f t="shared" si="1"/>
      </c>
      <c r="Q32" s="182">
        <f t="shared" si="2"/>
        <v>0</v>
      </c>
      <c r="R32" s="183">
        <f t="shared" si="3"/>
      </c>
      <c r="S32" s="184">
        <f>IF(N32&lt;&gt;0,LOOKUP(N32,'Formulas&amp;Factors'!$D$21:$D$28,'Formulas&amp;Factors'!$H$21:$H$28),"")</f>
      </c>
      <c r="T32" s="185">
        <f t="shared" si="4"/>
      </c>
      <c r="U32" s="195"/>
      <c r="V32" s="180"/>
      <c r="W32" s="114">
        <f t="shared" si="5"/>
      </c>
    </row>
    <row r="33" spans="2:23" ht="12.75">
      <c r="B33" s="179"/>
      <c r="C33" s="155"/>
      <c r="D33" s="158"/>
      <c r="E33" s="157"/>
      <c r="F33" s="158"/>
      <c r="G33" s="157"/>
      <c r="H33" s="158"/>
      <c r="I33" s="159"/>
      <c r="J33" s="159"/>
      <c r="K33" s="159"/>
      <c r="L33" s="160"/>
      <c r="M33" s="161"/>
      <c r="N33" s="162"/>
      <c r="O33" s="116">
        <f t="shared" si="0"/>
        <v>0</v>
      </c>
      <c r="P33" s="117">
        <f t="shared" si="1"/>
      </c>
      <c r="Q33" s="182">
        <f t="shared" si="2"/>
        <v>0</v>
      </c>
      <c r="R33" s="183">
        <f t="shared" si="3"/>
      </c>
      <c r="S33" s="184">
        <f>IF(N33&lt;&gt;0,LOOKUP(N33,'Formulas&amp;Factors'!$D$21:$D$28,'Formulas&amp;Factors'!$H$21:$H$28),"")</f>
      </c>
      <c r="T33" s="185">
        <f t="shared" si="4"/>
      </c>
      <c r="U33" s="195"/>
      <c r="V33" s="180"/>
      <c r="W33" s="114">
        <f t="shared" si="5"/>
      </c>
    </row>
    <row r="34" spans="2:23" ht="12.75">
      <c r="B34" s="179"/>
      <c r="C34" s="155"/>
      <c r="D34" s="158"/>
      <c r="E34" s="157"/>
      <c r="F34" s="158"/>
      <c r="G34" s="157"/>
      <c r="H34" s="158"/>
      <c r="I34" s="159"/>
      <c r="J34" s="159"/>
      <c r="K34" s="159"/>
      <c r="L34" s="160"/>
      <c r="M34" s="161"/>
      <c r="N34" s="162"/>
      <c r="O34" s="116">
        <f t="shared" si="0"/>
        <v>0</v>
      </c>
      <c r="P34" s="117">
        <f t="shared" si="1"/>
      </c>
      <c r="Q34" s="182">
        <f t="shared" si="2"/>
        <v>0</v>
      </c>
      <c r="R34" s="183">
        <f t="shared" si="3"/>
      </c>
      <c r="S34" s="184">
        <f>IF(N34&lt;&gt;0,LOOKUP(N34,'Formulas&amp;Factors'!$D$21:$D$28,'Formulas&amp;Factors'!$H$21:$H$28),"")</f>
      </c>
      <c r="T34" s="185">
        <f t="shared" si="4"/>
      </c>
      <c r="U34" s="195"/>
      <c r="V34" s="180"/>
      <c r="W34" s="114">
        <f t="shared" si="5"/>
      </c>
    </row>
    <row r="35" spans="2:23" ht="12.75">
      <c r="B35" s="179"/>
      <c r="C35" s="155"/>
      <c r="D35" s="158"/>
      <c r="E35" s="157"/>
      <c r="F35" s="158"/>
      <c r="G35" s="157"/>
      <c r="H35" s="158"/>
      <c r="I35" s="159"/>
      <c r="J35" s="159"/>
      <c r="K35" s="159"/>
      <c r="L35" s="160"/>
      <c r="M35" s="161"/>
      <c r="N35" s="162"/>
      <c r="O35" s="116">
        <f t="shared" si="0"/>
        <v>0</v>
      </c>
      <c r="P35" s="117">
        <f t="shared" si="1"/>
      </c>
      <c r="Q35" s="182">
        <f t="shared" si="2"/>
        <v>0</v>
      </c>
      <c r="R35" s="183">
        <f t="shared" si="3"/>
      </c>
      <c r="S35" s="184">
        <f>IF(N35&lt;&gt;0,LOOKUP(N35,'Formulas&amp;Factors'!$D$21:$D$28,'Formulas&amp;Factors'!$H$21:$H$28),"")</f>
      </c>
      <c r="T35" s="185">
        <f t="shared" si="4"/>
      </c>
      <c r="U35" s="195"/>
      <c r="V35" s="180"/>
      <c r="W35" s="114">
        <f t="shared" si="5"/>
      </c>
    </row>
    <row r="36" spans="2:23" ht="12.75">
      <c r="B36" s="179"/>
      <c r="C36" s="155"/>
      <c r="D36" s="158"/>
      <c r="E36" s="157"/>
      <c r="F36" s="158"/>
      <c r="G36" s="157"/>
      <c r="H36" s="158"/>
      <c r="I36" s="159"/>
      <c r="J36" s="159"/>
      <c r="K36" s="159"/>
      <c r="L36" s="160"/>
      <c r="M36" s="161"/>
      <c r="N36" s="162"/>
      <c r="O36" s="116">
        <f t="shared" si="0"/>
        <v>0</v>
      </c>
      <c r="P36" s="117">
        <f t="shared" si="1"/>
      </c>
      <c r="Q36" s="182">
        <f t="shared" si="2"/>
        <v>0</v>
      </c>
      <c r="R36" s="183">
        <f t="shared" si="3"/>
      </c>
      <c r="S36" s="184">
        <f>IF(N36&lt;&gt;0,LOOKUP(N36,'Formulas&amp;Factors'!$D$21:$D$28,'Formulas&amp;Factors'!$H$21:$H$28),"")</f>
      </c>
      <c r="T36" s="185">
        <f t="shared" si="4"/>
      </c>
      <c r="U36" s="195"/>
      <c r="V36" s="180"/>
      <c r="W36" s="114">
        <f t="shared" si="5"/>
      </c>
    </row>
    <row r="37" spans="2:23" ht="12.75">
      <c r="B37" s="179"/>
      <c r="C37" s="155"/>
      <c r="D37" s="158"/>
      <c r="E37" s="157"/>
      <c r="F37" s="158"/>
      <c r="G37" s="157"/>
      <c r="H37" s="158"/>
      <c r="I37" s="159"/>
      <c r="J37" s="159"/>
      <c r="K37" s="159"/>
      <c r="L37" s="160"/>
      <c r="M37" s="161"/>
      <c r="N37" s="162"/>
      <c r="O37" s="116">
        <f t="shared" si="0"/>
        <v>0</v>
      </c>
      <c r="P37" s="117">
        <f t="shared" si="1"/>
      </c>
      <c r="Q37" s="182">
        <f t="shared" si="2"/>
        <v>0</v>
      </c>
      <c r="R37" s="183">
        <f t="shared" si="3"/>
      </c>
      <c r="S37" s="184">
        <f>IF(N37&lt;&gt;0,LOOKUP(N37,'Formulas&amp;Factors'!$D$21:$D$28,'Formulas&amp;Factors'!$H$21:$H$28),"")</f>
      </c>
      <c r="T37" s="185">
        <f t="shared" si="4"/>
      </c>
      <c r="U37" s="195"/>
      <c r="V37" s="180"/>
      <c r="W37" s="114">
        <f t="shared" si="5"/>
      </c>
    </row>
    <row r="38" spans="2:23" ht="12.75">
      <c r="B38" s="179"/>
      <c r="C38" s="155"/>
      <c r="D38" s="158"/>
      <c r="E38" s="157"/>
      <c r="F38" s="158"/>
      <c r="G38" s="157"/>
      <c r="H38" s="158"/>
      <c r="I38" s="159"/>
      <c r="J38" s="159"/>
      <c r="K38" s="159"/>
      <c r="L38" s="160"/>
      <c r="M38" s="161"/>
      <c r="N38" s="162"/>
      <c r="O38" s="116">
        <f t="shared" si="0"/>
        <v>0</v>
      </c>
      <c r="P38" s="117">
        <f t="shared" si="1"/>
      </c>
      <c r="Q38" s="182">
        <f t="shared" si="2"/>
        <v>0</v>
      </c>
      <c r="R38" s="183">
        <f t="shared" si="3"/>
      </c>
      <c r="S38" s="184">
        <f>IF(N38&lt;&gt;0,LOOKUP(N38,'Formulas&amp;Factors'!$D$21:$D$28,'Formulas&amp;Factors'!$H$21:$H$28),"")</f>
      </c>
      <c r="T38" s="185">
        <f t="shared" si="4"/>
      </c>
      <c r="U38" s="195"/>
      <c r="V38" s="180"/>
      <c r="W38" s="114">
        <f t="shared" si="5"/>
      </c>
    </row>
    <row r="39" spans="2:23" ht="12.75">
      <c r="B39" s="179"/>
      <c r="C39" s="155"/>
      <c r="D39" s="158"/>
      <c r="E39" s="157"/>
      <c r="F39" s="158"/>
      <c r="G39" s="157"/>
      <c r="H39" s="158"/>
      <c r="I39" s="159"/>
      <c r="J39" s="159"/>
      <c r="K39" s="159"/>
      <c r="L39" s="160"/>
      <c r="M39" s="161"/>
      <c r="N39" s="162"/>
      <c r="O39" s="116">
        <f t="shared" si="0"/>
        <v>0</v>
      </c>
      <c r="P39" s="117">
        <f t="shared" si="1"/>
      </c>
      <c r="Q39" s="182">
        <f t="shared" si="2"/>
        <v>0</v>
      </c>
      <c r="R39" s="183">
        <f t="shared" si="3"/>
      </c>
      <c r="S39" s="184">
        <f>IF(N39&lt;&gt;0,LOOKUP(N39,'Formulas&amp;Factors'!$D$21:$D$28,'Formulas&amp;Factors'!$H$21:$H$28),"")</f>
      </c>
      <c r="T39" s="185">
        <f t="shared" si="4"/>
      </c>
      <c r="U39" s="195"/>
      <c r="V39" s="180"/>
      <c r="W39" s="114">
        <f t="shared" si="5"/>
      </c>
    </row>
    <row r="40" spans="2:23" ht="12.75">
      <c r="B40" s="179"/>
      <c r="C40" s="155"/>
      <c r="D40" s="158"/>
      <c r="E40" s="157"/>
      <c r="F40" s="158"/>
      <c r="G40" s="157"/>
      <c r="H40" s="158"/>
      <c r="I40" s="159"/>
      <c r="J40" s="159"/>
      <c r="K40" s="159"/>
      <c r="L40" s="160"/>
      <c r="M40" s="161"/>
      <c r="N40" s="162"/>
      <c r="O40" s="116">
        <f t="shared" si="0"/>
        <v>0</v>
      </c>
      <c r="P40" s="117">
        <f t="shared" si="1"/>
      </c>
      <c r="Q40" s="182">
        <f t="shared" si="2"/>
        <v>0</v>
      </c>
      <c r="R40" s="183">
        <f t="shared" si="3"/>
      </c>
      <c r="S40" s="184">
        <f>IF(N40&lt;&gt;0,LOOKUP(N40,'Formulas&amp;Factors'!$D$21:$D$28,'Formulas&amp;Factors'!$H$21:$H$28),"")</f>
      </c>
      <c r="T40" s="185">
        <f t="shared" si="4"/>
      </c>
      <c r="U40" s="195"/>
      <c r="V40" s="180"/>
      <c r="W40" s="114">
        <f t="shared" si="5"/>
      </c>
    </row>
    <row r="41" spans="2:23" ht="12.75">
      <c r="B41" s="179"/>
      <c r="C41" s="163"/>
      <c r="D41" s="164"/>
      <c r="E41" s="165"/>
      <c r="F41" s="164"/>
      <c r="G41" s="165"/>
      <c r="H41" s="164"/>
      <c r="I41" s="166"/>
      <c r="J41" s="167"/>
      <c r="K41" s="167"/>
      <c r="L41" s="168"/>
      <c r="M41" s="169"/>
      <c r="N41" s="170"/>
      <c r="O41" s="116">
        <f t="shared" si="0"/>
        <v>0</v>
      </c>
      <c r="P41" s="117">
        <f t="shared" si="1"/>
      </c>
      <c r="Q41" s="182">
        <f t="shared" si="2"/>
        <v>0</v>
      </c>
      <c r="R41" s="183">
        <f t="shared" si="3"/>
      </c>
      <c r="S41" s="184">
        <f>IF(N41&lt;&gt;0,LOOKUP(N41,'Formulas&amp;Factors'!$D$21:$D$28,'Formulas&amp;Factors'!$H$21:$H$28),"")</f>
      </c>
      <c r="T41" s="185">
        <f t="shared" si="4"/>
      </c>
      <c r="U41" s="195"/>
      <c r="V41" s="180"/>
      <c r="W41" s="114">
        <f t="shared" si="5"/>
      </c>
    </row>
    <row r="42" spans="2:22" ht="12.75">
      <c r="B42" s="187"/>
      <c r="C42" s="171"/>
      <c r="D42" s="172"/>
      <c r="E42" s="173"/>
      <c r="F42" s="172"/>
      <c r="G42" s="173"/>
      <c r="H42" s="172"/>
      <c r="I42" s="174"/>
      <c r="J42" s="175"/>
      <c r="K42" s="175"/>
      <c r="L42" s="176"/>
      <c r="M42" s="177"/>
      <c r="N42" s="178"/>
      <c r="O42" s="116">
        <f t="shared" si="0"/>
        <v>0</v>
      </c>
      <c r="P42" s="117">
        <f t="shared" si="1"/>
      </c>
      <c r="Q42" s="182">
        <f t="shared" si="2"/>
        <v>0</v>
      </c>
      <c r="R42" s="183">
        <f t="shared" si="3"/>
      </c>
      <c r="S42" s="184">
        <f>IF(N42&lt;&gt;0,LOOKUP(N42,'Formulas&amp;Factors'!$D$21:$D$28,'Formulas&amp;Factors'!$H$21:$H$28),"")</f>
      </c>
      <c r="T42" s="185">
        <f t="shared" si="4"/>
      </c>
      <c r="U42" s="195"/>
      <c r="V42" s="180"/>
    </row>
    <row r="43" spans="2:22" ht="12.75">
      <c r="B43" s="187"/>
      <c r="C43" s="171"/>
      <c r="D43" s="172"/>
      <c r="E43" s="173"/>
      <c r="F43" s="172"/>
      <c r="G43" s="173"/>
      <c r="H43" s="172"/>
      <c r="I43" s="174"/>
      <c r="J43" s="175"/>
      <c r="K43" s="175"/>
      <c r="L43" s="176"/>
      <c r="M43" s="177"/>
      <c r="N43" s="178"/>
      <c r="O43" s="116">
        <f t="shared" si="0"/>
        <v>0</v>
      </c>
      <c r="P43" s="117">
        <f t="shared" si="1"/>
      </c>
      <c r="Q43" s="182">
        <f t="shared" si="2"/>
        <v>0</v>
      </c>
      <c r="R43" s="183">
        <f t="shared" si="3"/>
      </c>
      <c r="S43" s="184">
        <f>IF(N43&lt;&gt;0,LOOKUP(N43,'Formulas&amp;Factors'!$D$21:$D$28,'Formulas&amp;Factors'!$H$21:$H$28),"")</f>
      </c>
      <c r="T43" s="185">
        <f t="shared" si="4"/>
      </c>
      <c r="U43" s="195"/>
      <c r="V43" s="180"/>
    </row>
    <row r="44" spans="2:22" ht="12.75">
      <c r="B44" s="187"/>
      <c r="C44" s="171"/>
      <c r="D44" s="172"/>
      <c r="E44" s="173"/>
      <c r="F44" s="172"/>
      <c r="G44" s="173"/>
      <c r="H44" s="172"/>
      <c r="I44" s="174"/>
      <c r="J44" s="175"/>
      <c r="K44" s="175"/>
      <c r="L44" s="176"/>
      <c r="M44" s="177"/>
      <c r="N44" s="178"/>
      <c r="O44" s="116">
        <f t="shared" si="0"/>
        <v>0</v>
      </c>
      <c r="P44" s="117">
        <f t="shared" si="1"/>
      </c>
      <c r="Q44" s="182">
        <f t="shared" si="2"/>
        <v>0</v>
      </c>
      <c r="R44" s="183">
        <f t="shared" si="3"/>
      </c>
      <c r="S44" s="184">
        <f>IF(N44&lt;&gt;0,LOOKUP(N44,'Formulas&amp;Factors'!$D$21:$D$28,'Formulas&amp;Factors'!$H$21:$H$28),"")</f>
      </c>
      <c r="T44" s="185">
        <f t="shared" si="4"/>
      </c>
      <c r="U44" s="195"/>
      <c r="V44" s="180"/>
    </row>
    <row r="45" spans="2:22" ht="12.75">
      <c r="B45" s="187"/>
      <c r="C45" s="171"/>
      <c r="D45" s="172"/>
      <c r="E45" s="173"/>
      <c r="F45" s="172"/>
      <c r="G45" s="173"/>
      <c r="H45" s="172"/>
      <c r="I45" s="174"/>
      <c r="J45" s="175"/>
      <c r="K45" s="175"/>
      <c r="L45" s="176"/>
      <c r="M45" s="177"/>
      <c r="N45" s="178"/>
      <c r="O45" s="116">
        <f t="shared" si="0"/>
        <v>0</v>
      </c>
      <c r="P45" s="117">
        <f t="shared" si="1"/>
      </c>
      <c r="Q45" s="182">
        <f t="shared" si="2"/>
        <v>0</v>
      </c>
      <c r="R45" s="183">
        <f t="shared" si="3"/>
      </c>
      <c r="S45" s="184">
        <f>IF(N45&lt;&gt;0,LOOKUP(N45,'Formulas&amp;Factors'!$D$21:$D$28,'Formulas&amp;Factors'!$H$21:$H$28),"")</f>
      </c>
      <c r="T45" s="185">
        <f t="shared" si="4"/>
      </c>
      <c r="U45" s="195"/>
      <c r="V45" s="180"/>
    </row>
    <row r="46" spans="2:22" ht="12.75">
      <c r="B46" s="187"/>
      <c r="C46" s="171"/>
      <c r="D46" s="172"/>
      <c r="E46" s="173"/>
      <c r="F46" s="172"/>
      <c r="G46" s="173"/>
      <c r="H46" s="172"/>
      <c r="I46" s="174"/>
      <c r="J46" s="175"/>
      <c r="K46" s="175"/>
      <c r="L46" s="176"/>
      <c r="M46" s="177"/>
      <c r="N46" s="178"/>
      <c r="O46" s="116">
        <f t="shared" si="0"/>
        <v>0</v>
      </c>
      <c r="P46" s="117">
        <f t="shared" si="1"/>
      </c>
      <c r="Q46" s="182">
        <f t="shared" si="2"/>
        <v>0</v>
      </c>
      <c r="R46" s="183">
        <f t="shared" si="3"/>
      </c>
      <c r="S46" s="184">
        <f>IF(N46&lt;&gt;0,LOOKUP(N46,'Formulas&amp;Factors'!$D$21:$D$28,'Formulas&amp;Factors'!$H$21:$H$28),"")</f>
      </c>
      <c r="T46" s="185">
        <f t="shared" si="4"/>
      </c>
      <c r="U46" s="195"/>
      <c r="V46" s="180"/>
    </row>
    <row r="47" spans="2:22" ht="12.75">
      <c r="B47" s="187"/>
      <c r="C47" s="171"/>
      <c r="D47" s="172"/>
      <c r="E47" s="173"/>
      <c r="F47" s="172"/>
      <c r="G47" s="173"/>
      <c r="H47" s="172"/>
      <c r="I47" s="174"/>
      <c r="J47" s="175"/>
      <c r="K47" s="175"/>
      <c r="L47" s="176"/>
      <c r="M47" s="177"/>
      <c r="N47" s="178"/>
      <c r="O47" s="116">
        <f t="shared" si="0"/>
        <v>0</v>
      </c>
      <c r="P47" s="117">
        <f t="shared" si="1"/>
      </c>
      <c r="Q47" s="182">
        <f t="shared" si="2"/>
        <v>0</v>
      </c>
      <c r="R47" s="183">
        <f t="shared" si="3"/>
      </c>
      <c r="S47" s="184">
        <f>IF(N47&lt;&gt;0,LOOKUP(N47,'Formulas&amp;Factors'!$D$21:$D$28,'Formulas&amp;Factors'!$H$21:$H$28),"")</f>
      </c>
      <c r="T47" s="185">
        <f t="shared" si="4"/>
      </c>
      <c r="U47" s="195"/>
      <c r="V47" s="180"/>
    </row>
    <row r="48" spans="2:22" ht="12.75">
      <c r="B48" s="187"/>
      <c r="C48" s="171"/>
      <c r="D48" s="172"/>
      <c r="E48" s="173"/>
      <c r="F48" s="172"/>
      <c r="G48" s="173"/>
      <c r="H48" s="172"/>
      <c r="I48" s="174"/>
      <c r="J48" s="175"/>
      <c r="K48" s="175"/>
      <c r="L48" s="176"/>
      <c r="M48" s="177"/>
      <c r="N48" s="178"/>
      <c r="O48" s="116">
        <f t="shared" si="0"/>
        <v>0</v>
      </c>
      <c r="P48" s="117">
        <f t="shared" si="1"/>
      </c>
      <c r="Q48" s="182">
        <f t="shared" si="2"/>
        <v>0</v>
      </c>
      <c r="R48" s="183">
        <f t="shared" si="3"/>
      </c>
      <c r="S48" s="184">
        <f>IF(N48&lt;&gt;0,LOOKUP(N48,'Formulas&amp;Factors'!$D$21:$D$28,'Formulas&amp;Factors'!$H$21:$H$28),"")</f>
      </c>
      <c r="T48" s="185">
        <f t="shared" si="4"/>
      </c>
      <c r="U48" s="195"/>
      <c r="V48" s="180"/>
    </row>
    <row r="49" spans="2:22" ht="12.75">
      <c r="B49" s="187"/>
      <c r="C49" s="171"/>
      <c r="D49" s="172"/>
      <c r="E49" s="173"/>
      <c r="F49" s="172"/>
      <c r="G49" s="173"/>
      <c r="H49" s="172"/>
      <c r="I49" s="174"/>
      <c r="J49" s="175"/>
      <c r="K49" s="175"/>
      <c r="L49" s="176"/>
      <c r="M49" s="177"/>
      <c r="N49" s="178"/>
      <c r="O49" s="116">
        <f t="shared" si="0"/>
        <v>0</v>
      </c>
      <c r="P49" s="117">
        <f t="shared" si="1"/>
      </c>
      <c r="Q49" s="182">
        <f t="shared" si="2"/>
        <v>0</v>
      </c>
      <c r="R49" s="183">
        <f t="shared" si="3"/>
      </c>
      <c r="S49" s="184">
        <f>IF(N49&lt;&gt;0,LOOKUP(N49,'Formulas&amp;Factors'!$D$21:$D$28,'Formulas&amp;Factors'!$H$21:$H$28),"")</f>
      </c>
      <c r="T49" s="185">
        <f t="shared" si="4"/>
      </c>
      <c r="U49" s="195"/>
      <c r="V49" s="180"/>
    </row>
    <row r="50" spans="2:22" ht="12.75">
      <c r="B50" s="187"/>
      <c r="C50" s="171"/>
      <c r="D50" s="172"/>
      <c r="E50" s="173"/>
      <c r="F50" s="172"/>
      <c r="G50" s="173"/>
      <c r="H50" s="172"/>
      <c r="I50" s="174"/>
      <c r="J50" s="175"/>
      <c r="K50" s="175"/>
      <c r="L50" s="176"/>
      <c r="M50" s="177"/>
      <c r="N50" s="178"/>
      <c r="O50" s="116">
        <f t="shared" si="0"/>
        <v>0</v>
      </c>
      <c r="P50" s="117">
        <f t="shared" si="1"/>
      </c>
      <c r="Q50" s="182">
        <f t="shared" si="2"/>
        <v>0</v>
      </c>
      <c r="R50" s="183">
        <f t="shared" si="3"/>
      </c>
      <c r="S50" s="184">
        <f>IF(N50&lt;&gt;0,LOOKUP(N50,'Formulas&amp;Factors'!$D$21:$D$28,'Formulas&amp;Factors'!$H$21:$H$28),"")</f>
      </c>
      <c r="T50" s="185">
        <f t="shared" si="4"/>
      </c>
      <c r="U50" s="195"/>
      <c r="V50" s="180"/>
    </row>
    <row r="51" spans="2:22" ht="12.75">
      <c r="B51" s="187"/>
      <c r="C51" s="171"/>
      <c r="D51" s="172"/>
      <c r="E51" s="173"/>
      <c r="F51" s="172"/>
      <c r="G51" s="173"/>
      <c r="H51" s="172"/>
      <c r="I51" s="174"/>
      <c r="J51" s="175"/>
      <c r="K51" s="175"/>
      <c r="L51" s="176"/>
      <c r="M51" s="177"/>
      <c r="N51" s="178"/>
      <c r="O51" s="116">
        <f t="shared" si="0"/>
        <v>0</v>
      </c>
      <c r="P51" s="117">
        <f t="shared" si="1"/>
      </c>
      <c r="Q51" s="182">
        <f t="shared" si="2"/>
        <v>0</v>
      </c>
      <c r="R51" s="183">
        <f t="shared" si="3"/>
      </c>
      <c r="S51" s="184">
        <f>IF(N51&lt;&gt;0,LOOKUP(N51,'Formulas&amp;Factors'!$D$21:$D$28,'Formulas&amp;Factors'!$H$21:$H$28),"")</f>
      </c>
      <c r="T51" s="185">
        <f t="shared" si="4"/>
      </c>
      <c r="U51" s="195"/>
      <c r="V51" s="180"/>
    </row>
    <row r="52" spans="2:22" ht="12.75">
      <c r="B52" s="187"/>
      <c r="C52" s="171"/>
      <c r="D52" s="172"/>
      <c r="E52" s="173"/>
      <c r="F52" s="172"/>
      <c r="G52" s="173"/>
      <c r="H52" s="172"/>
      <c r="I52" s="174"/>
      <c r="J52" s="175"/>
      <c r="K52" s="175"/>
      <c r="L52" s="176"/>
      <c r="M52" s="177"/>
      <c r="N52" s="178"/>
      <c r="O52" s="116">
        <f t="shared" si="0"/>
        <v>0</v>
      </c>
      <c r="P52" s="117">
        <f t="shared" si="1"/>
      </c>
      <c r="Q52" s="182">
        <f t="shared" si="2"/>
        <v>0</v>
      </c>
      <c r="R52" s="183">
        <f t="shared" si="3"/>
      </c>
      <c r="S52" s="184">
        <f>IF(N52&lt;&gt;0,LOOKUP(N52,'Formulas&amp;Factors'!$D$21:$D$28,'Formulas&amp;Factors'!$H$21:$H$28),"")</f>
      </c>
      <c r="T52" s="185">
        <f t="shared" si="4"/>
      </c>
      <c r="U52" s="195"/>
      <c r="V52" s="180"/>
    </row>
    <row r="53" spans="2:22" ht="12.75">
      <c r="B53" s="187"/>
      <c r="C53" s="171"/>
      <c r="D53" s="172"/>
      <c r="E53" s="173"/>
      <c r="F53" s="172"/>
      <c r="G53" s="173"/>
      <c r="H53" s="172"/>
      <c r="I53" s="174"/>
      <c r="J53" s="175"/>
      <c r="K53" s="175"/>
      <c r="L53" s="176"/>
      <c r="M53" s="177"/>
      <c r="N53" s="178"/>
      <c r="O53" s="116">
        <f t="shared" si="0"/>
        <v>0</v>
      </c>
      <c r="P53" s="117">
        <f t="shared" si="1"/>
      </c>
      <c r="Q53" s="182">
        <f t="shared" si="2"/>
        <v>0</v>
      </c>
      <c r="R53" s="183">
        <f t="shared" si="3"/>
      </c>
      <c r="S53" s="184">
        <f>IF(N53&lt;&gt;0,LOOKUP(N53,'Formulas&amp;Factors'!$D$21:$D$28,'Formulas&amp;Factors'!$H$21:$H$28),"")</f>
      </c>
      <c r="T53" s="185">
        <f t="shared" si="4"/>
      </c>
      <c r="U53" s="195"/>
      <c r="V53" s="180"/>
    </row>
    <row r="54" spans="2:22" ht="12.75">
      <c r="B54" s="187"/>
      <c r="C54" s="171"/>
      <c r="D54" s="172"/>
      <c r="E54" s="173"/>
      <c r="F54" s="172"/>
      <c r="G54" s="173"/>
      <c r="H54" s="172"/>
      <c r="I54" s="174"/>
      <c r="J54" s="175"/>
      <c r="K54" s="175"/>
      <c r="L54" s="176"/>
      <c r="M54" s="177"/>
      <c r="N54" s="178"/>
      <c r="O54" s="116">
        <f t="shared" si="0"/>
        <v>0</v>
      </c>
      <c r="P54" s="117">
        <f t="shared" si="1"/>
      </c>
      <c r="Q54" s="182">
        <f t="shared" si="2"/>
        <v>0</v>
      </c>
      <c r="R54" s="183">
        <f t="shared" si="3"/>
      </c>
      <c r="S54" s="184">
        <f>IF(N54&lt;&gt;0,LOOKUP(N54,'Formulas&amp;Factors'!$D$21:$D$28,'Formulas&amp;Factors'!$H$21:$H$28),"")</f>
      </c>
      <c r="T54" s="185">
        <f t="shared" si="4"/>
      </c>
      <c r="U54" s="195"/>
      <c r="V54" s="180"/>
    </row>
    <row r="55" spans="2:22" ht="12.75">
      <c r="B55" s="187"/>
      <c r="C55" s="171"/>
      <c r="D55" s="172"/>
      <c r="E55" s="173"/>
      <c r="F55" s="172"/>
      <c r="G55" s="173"/>
      <c r="H55" s="172"/>
      <c r="I55" s="174"/>
      <c r="J55" s="175"/>
      <c r="K55" s="175"/>
      <c r="L55" s="176"/>
      <c r="M55" s="177"/>
      <c r="N55" s="178"/>
      <c r="O55" s="116">
        <f t="shared" si="0"/>
        <v>0</v>
      </c>
      <c r="P55" s="117">
        <f t="shared" si="1"/>
      </c>
      <c r="Q55" s="182">
        <f t="shared" si="2"/>
        <v>0</v>
      </c>
      <c r="R55" s="183">
        <f t="shared" si="3"/>
      </c>
      <c r="S55" s="184">
        <f>IF(N55&lt;&gt;0,LOOKUP(N55,'Formulas&amp;Factors'!$D$21:$D$28,'Formulas&amp;Factors'!$H$21:$H$28),"")</f>
      </c>
      <c r="T55" s="185">
        <f t="shared" si="4"/>
      </c>
      <c r="U55" s="195"/>
      <c r="V55" s="180"/>
    </row>
    <row r="56" spans="2:22" ht="12.75">
      <c r="B56" s="187"/>
      <c r="C56" s="171"/>
      <c r="D56" s="172"/>
      <c r="E56" s="173"/>
      <c r="F56" s="172"/>
      <c r="G56" s="173"/>
      <c r="H56" s="172"/>
      <c r="I56" s="174"/>
      <c r="J56" s="175"/>
      <c r="K56" s="175"/>
      <c r="L56" s="176"/>
      <c r="M56" s="177"/>
      <c r="N56" s="178"/>
      <c r="O56" s="116">
        <f t="shared" si="0"/>
        <v>0</v>
      </c>
      <c r="P56" s="117">
        <f t="shared" si="1"/>
      </c>
      <c r="Q56" s="182">
        <f t="shared" si="2"/>
        <v>0</v>
      </c>
      <c r="R56" s="183">
        <f t="shared" si="3"/>
      </c>
      <c r="S56" s="184">
        <f>IF(N56&lt;&gt;0,LOOKUP(N56,'Formulas&amp;Factors'!$D$21:$D$28,'Formulas&amp;Factors'!$H$21:$H$28),"")</f>
      </c>
      <c r="T56" s="185">
        <f t="shared" si="4"/>
      </c>
      <c r="U56" s="195"/>
      <c r="V56" s="180"/>
    </row>
    <row r="57" spans="2:22" ht="12.75">
      <c r="B57" s="187"/>
      <c r="C57" s="171"/>
      <c r="D57" s="172"/>
      <c r="E57" s="173"/>
      <c r="F57" s="172"/>
      <c r="G57" s="173"/>
      <c r="H57" s="172"/>
      <c r="I57" s="174"/>
      <c r="J57" s="175"/>
      <c r="K57" s="175"/>
      <c r="L57" s="176"/>
      <c r="M57" s="177"/>
      <c r="N57" s="178"/>
      <c r="O57" s="116">
        <f t="shared" si="0"/>
        <v>0</v>
      </c>
      <c r="P57" s="117">
        <f t="shared" si="1"/>
      </c>
      <c r="Q57" s="182">
        <f t="shared" si="2"/>
        <v>0</v>
      </c>
      <c r="R57" s="183">
        <f t="shared" si="3"/>
      </c>
      <c r="S57" s="184">
        <f>IF(N57&lt;&gt;0,LOOKUP(N57,'Formulas&amp;Factors'!$D$21:$D$28,'Formulas&amp;Factors'!$H$21:$H$28),"")</f>
      </c>
      <c r="T57" s="185">
        <f t="shared" si="4"/>
      </c>
      <c r="U57" s="195"/>
      <c r="V57" s="180"/>
    </row>
    <row r="58" spans="2:22" ht="12.75">
      <c r="B58" s="187"/>
      <c r="C58" s="171"/>
      <c r="D58" s="172"/>
      <c r="E58" s="173"/>
      <c r="F58" s="172"/>
      <c r="G58" s="173"/>
      <c r="H58" s="172"/>
      <c r="I58" s="174"/>
      <c r="J58" s="175"/>
      <c r="K58" s="175"/>
      <c r="L58" s="176"/>
      <c r="M58" s="177"/>
      <c r="N58" s="178"/>
      <c r="O58" s="116">
        <f t="shared" si="0"/>
        <v>0</v>
      </c>
      <c r="P58" s="117">
        <f t="shared" si="1"/>
      </c>
      <c r="Q58" s="182">
        <f t="shared" si="2"/>
        <v>0</v>
      </c>
      <c r="R58" s="183">
        <f t="shared" si="3"/>
      </c>
      <c r="S58" s="184">
        <f>IF(N58&lt;&gt;0,LOOKUP(N58,'Formulas&amp;Factors'!$D$21:$D$28,'Formulas&amp;Factors'!$H$21:$H$28),"")</f>
      </c>
      <c r="T58" s="185">
        <f t="shared" si="4"/>
      </c>
      <c r="U58" s="195"/>
      <c r="V58" s="180"/>
    </row>
    <row r="59" spans="2:22" ht="12.75">
      <c r="B59" s="187"/>
      <c r="C59" s="171"/>
      <c r="D59" s="172"/>
      <c r="E59" s="173"/>
      <c r="F59" s="172"/>
      <c r="G59" s="173"/>
      <c r="H59" s="172"/>
      <c r="I59" s="174"/>
      <c r="J59" s="175"/>
      <c r="K59" s="175"/>
      <c r="L59" s="176"/>
      <c r="M59" s="177"/>
      <c r="N59" s="178"/>
      <c r="O59" s="116">
        <f t="shared" si="0"/>
        <v>0</v>
      </c>
      <c r="P59" s="117">
        <f aca="true" t="shared" si="6" ref="P59:P64">IF((M59*O59)&lt;&gt;0,(M59*O59*365*$E$11)/1000000,"")</f>
      </c>
      <c r="Q59" s="182">
        <f t="shared" si="2"/>
        <v>0</v>
      </c>
      <c r="R59" s="183">
        <f t="shared" si="3"/>
      </c>
      <c r="S59" s="184">
        <f>IF(N59&lt;&gt;0,LOOKUP(N59,'Formulas&amp;Factors'!$D$21:$D$28,'Formulas&amp;Factors'!$H$21:$H$28),"")</f>
      </c>
      <c r="T59" s="185">
        <f t="shared" si="4"/>
      </c>
      <c r="U59" s="195"/>
      <c r="V59" s="180"/>
    </row>
    <row r="60" spans="2:22" ht="12.75">
      <c r="B60" s="187"/>
      <c r="C60" s="171"/>
      <c r="D60" s="172"/>
      <c r="E60" s="173"/>
      <c r="F60" s="172"/>
      <c r="G60" s="173"/>
      <c r="H60" s="172"/>
      <c r="I60" s="174"/>
      <c r="J60" s="175"/>
      <c r="K60" s="175"/>
      <c r="L60" s="176"/>
      <c r="M60" s="177"/>
      <c r="N60" s="178"/>
      <c r="O60" s="116">
        <f t="shared" si="0"/>
        <v>0</v>
      </c>
      <c r="P60" s="117">
        <f t="shared" si="6"/>
      </c>
      <c r="Q60" s="182">
        <f t="shared" si="2"/>
        <v>0</v>
      </c>
      <c r="R60" s="183">
        <f t="shared" si="3"/>
      </c>
      <c r="S60" s="184">
        <f>IF(N60&lt;&gt;0,LOOKUP(N60,'Formulas&amp;Factors'!$D$21:$D$28,'Formulas&amp;Factors'!$H$21:$H$28),"")</f>
      </c>
      <c r="T60" s="185">
        <f t="shared" si="4"/>
      </c>
      <c r="U60" s="195"/>
      <c r="V60" s="180"/>
    </row>
    <row r="61" spans="2:22" ht="12.75">
      <c r="B61" s="187"/>
      <c r="C61" s="171"/>
      <c r="D61" s="172"/>
      <c r="E61" s="173"/>
      <c r="F61" s="172"/>
      <c r="G61" s="173"/>
      <c r="H61" s="172"/>
      <c r="I61" s="174"/>
      <c r="J61" s="175"/>
      <c r="K61" s="175"/>
      <c r="L61" s="176"/>
      <c r="M61" s="177"/>
      <c r="N61" s="178"/>
      <c r="O61" s="116">
        <f t="shared" si="0"/>
        <v>0</v>
      </c>
      <c r="P61" s="117">
        <f t="shared" si="6"/>
      </c>
      <c r="Q61" s="182">
        <f t="shared" si="2"/>
        <v>0</v>
      </c>
      <c r="R61" s="183">
        <f t="shared" si="3"/>
      </c>
      <c r="S61" s="184">
        <f>IF(N61&lt;&gt;0,LOOKUP(N61,'Formulas&amp;Factors'!$D$21:$D$28,'Formulas&amp;Factors'!$H$21:$H$28),"")</f>
      </c>
      <c r="T61" s="185">
        <f t="shared" si="4"/>
      </c>
      <c r="U61" s="195"/>
      <c r="V61" s="180"/>
    </row>
    <row r="62" spans="2:22" ht="12.75">
      <c r="B62" s="187"/>
      <c r="C62" s="171"/>
      <c r="D62" s="172"/>
      <c r="E62" s="173"/>
      <c r="F62" s="172"/>
      <c r="G62" s="173"/>
      <c r="H62" s="172"/>
      <c r="I62" s="174"/>
      <c r="J62" s="175"/>
      <c r="K62" s="175"/>
      <c r="L62" s="176"/>
      <c r="M62" s="177"/>
      <c r="N62" s="178"/>
      <c r="O62" s="116">
        <f t="shared" si="0"/>
        <v>0</v>
      </c>
      <c r="P62" s="117">
        <f t="shared" si="6"/>
      </c>
      <c r="Q62" s="182">
        <f t="shared" si="2"/>
        <v>0</v>
      </c>
      <c r="R62" s="183">
        <f t="shared" si="3"/>
      </c>
      <c r="S62" s="184">
        <f>IF(N62&lt;&gt;0,LOOKUP(N62,'Formulas&amp;Factors'!$D$21:$D$28,'Formulas&amp;Factors'!$H$21:$H$28),"")</f>
      </c>
      <c r="T62" s="185">
        <f t="shared" si="4"/>
      </c>
      <c r="U62" s="195"/>
      <c r="V62" s="180"/>
    </row>
    <row r="63" spans="2:22" ht="12.75">
      <c r="B63" s="187"/>
      <c r="C63" s="171"/>
      <c r="D63" s="172"/>
      <c r="E63" s="173"/>
      <c r="F63" s="172"/>
      <c r="G63" s="173"/>
      <c r="H63" s="172"/>
      <c r="I63" s="174"/>
      <c r="J63" s="175"/>
      <c r="K63" s="175"/>
      <c r="L63" s="176"/>
      <c r="M63" s="177"/>
      <c r="N63" s="178"/>
      <c r="O63" s="116">
        <f t="shared" si="0"/>
        <v>0</v>
      </c>
      <c r="P63" s="117">
        <f t="shared" si="6"/>
      </c>
      <c r="Q63" s="182">
        <f t="shared" si="2"/>
        <v>0</v>
      </c>
      <c r="R63" s="183">
        <f t="shared" si="3"/>
      </c>
      <c r="S63" s="184">
        <f>IF(N63&lt;&gt;0,LOOKUP(N63,'Formulas&amp;Factors'!$D$21:$D$28,'Formulas&amp;Factors'!$H$21:$H$28),"")</f>
      </c>
      <c r="T63" s="185">
        <f t="shared" si="4"/>
      </c>
      <c r="U63" s="195"/>
      <c r="V63" s="180"/>
    </row>
    <row r="64" spans="2:22" ht="12.75">
      <c r="B64" s="187"/>
      <c r="C64" s="171"/>
      <c r="D64" s="172"/>
      <c r="E64" s="173"/>
      <c r="F64" s="172"/>
      <c r="G64" s="173"/>
      <c r="H64" s="172"/>
      <c r="I64" s="174"/>
      <c r="J64" s="175"/>
      <c r="K64" s="175"/>
      <c r="L64" s="176"/>
      <c r="M64" s="177"/>
      <c r="N64" s="178"/>
      <c r="O64" s="116">
        <f t="shared" si="0"/>
        <v>0</v>
      </c>
      <c r="P64" s="117">
        <f t="shared" si="6"/>
      </c>
      <c r="Q64" s="182">
        <f t="shared" si="2"/>
        <v>0</v>
      </c>
      <c r="R64" s="183">
        <f t="shared" si="3"/>
      </c>
      <c r="S64" s="184">
        <f>IF(N64&lt;&gt;0,LOOKUP(N64,'Formulas&amp;Factors'!$D$21:$D$28,'Formulas&amp;Factors'!$H$21:$H$28),"")</f>
      </c>
      <c r="T64" s="185">
        <f t="shared" si="4"/>
      </c>
      <c r="U64" s="195"/>
      <c r="V64" s="180"/>
    </row>
  </sheetData>
  <sheetProtection formatColumns="0" formatRows="0" insertRows="0" deleteRows="0" sort="0"/>
  <autoFilter ref="C17:T19"/>
  <mergeCells count="24">
    <mergeCell ref="F17:F19"/>
    <mergeCell ref="E17:E19"/>
    <mergeCell ref="D17:D19"/>
    <mergeCell ref="C17:C19"/>
    <mergeCell ref="E13:G13"/>
    <mergeCell ref="D8:G8"/>
    <mergeCell ref="E9:G9"/>
    <mergeCell ref="E10:G10"/>
    <mergeCell ref="E11:G11"/>
    <mergeCell ref="E12:G12"/>
    <mergeCell ref="H17:H19"/>
    <mergeCell ref="G17:G19"/>
    <mergeCell ref="L17:L19"/>
    <mergeCell ref="K17:K19"/>
    <mergeCell ref="J17:J19"/>
    <mergeCell ref="I17:I19"/>
    <mergeCell ref="N17:N19"/>
    <mergeCell ref="M17:M19"/>
    <mergeCell ref="T17:T19"/>
    <mergeCell ref="S17:S19"/>
    <mergeCell ref="R17:R19"/>
    <mergeCell ref="Q17:Q19"/>
    <mergeCell ref="P17:P19"/>
    <mergeCell ref="O17:O19"/>
  </mergeCells>
  <conditionalFormatting sqref="U20:U64">
    <cfRule type="expression" priority="5" dxfId="2" stopIfTrue="1">
      <formula>$W$21=1</formula>
    </cfRule>
  </conditionalFormatting>
  <printOptions/>
  <pageMargins left="0.83" right="0.63" top="0.44" bottom="0.28" header="0.45" footer="0.27"/>
  <pageSetup fitToHeight="0" fitToWidth="1" horizontalDpi="600" verticalDpi="600" orientation="landscape" scale="59" r:id="rId4"/>
  <headerFooter alignWithMargins="0">
    <oddFooter>&amp;LAlaska HSIP Handbook&amp;CA-3&amp;REffective January 1, 2017</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V57"/>
  <sheetViews>
    <sheetView showGridLines="0" view="pageBreakPreview" zoomScale="110" zoomScaleSheetLayoutView="110" zoomScalePageLayoutView="0" workbookViewId="0" topLeftCell="B1">
      <selection activeCell="G16" sqref="G16"/>
    </sheetView>
  </sheetViews>
  <sheetFormatPr defaultColWidth="11.421875" defaultRowHeight="12.75"/>
  <cols>
    <col min="1" max="1" width="1.7109375" style="114" customWidth="1"/>
    <col min="2" max="2" width="1.57421875" style="114" customWidth="1"/>
    <col min="3" max="3" width="20.7109375" style="114" customWidth="1"/>
    <col min="4" max="4" width="21.57421875" style="114" customWidth="1"/>
    <col min="5" max="8" width="5.7109375" style="114" customWidth="1"/>
    <col min="9" max="9" width="8.7109375" style="114" customWidth="1"/>
    <col min="10" max="10" width="5.7109375" style="114" customWidth="1"/>
    <col min="11" max="11" width="8.8515625" style="114" customWidth="1"/>
    <col min="12" max="12" width="7.140625" style="114" customWidth="1"/>
    <col min="13" max="13" width="7.57421875" style="114" customWidth="1"/>
    <col min="14" max="15" width="6.140625" style="114" customWidth="1"/>
    <col min="16" max="16" width="6.7109375" style="114" customWidth="1"/>
    <col min="17" max="17" width="9.8515625" style="114" customWidth="1"/>
    <col min="18" max="18" width="7.28125" style="114" customWidth="1"/>
    <col min="19" max="19" width="7.140625" style="114" customWidth="1"/>
    <col min="20" max="20" width="37.57421875" style="114" customWidth="1"/>
    <col min="21" max="21" width="1.421875" style="114" customWidth="1"/>
    <col min="22" max="22" width="0.9921875" style="114" hidden="1" customWidth="1"/>
    <col min="23" max="23" width="12.28125" style="114" customWidth="1"/>
    <col min="24" max="24" width="12.140625" style="114" customWidth="1"/>
    <col min="25" max="16384" width="11.421875" style="114" customWidth="1"/>
  </cols>
  <sheetData>
    <row r="1" ht="4.5" customHeight="1"/>
    <row r="2" spans="2:22" ht="6.75" customHeight="1">
      <c r="B2" s="137"/>
      <c r="C2" s="138"/>
      <c r="D2" s="138"/>
      <c r="E2" s="138"/>
      <c r="F2" s="138"/>
      <c r="G2" s="139"/>
      <c r="H2" s="138"/>
      <c r="I2" s="138"/>
      <c r="J2" s="138"/>
      <c r="K2" s="138"/>
      <c r="L2" s="138"/>
      <c r="M2" s="138"/>
      <c r="N2" s="138"/>
      <c r="O2" s="138"/>
      <c r="P2" s="138"/>
      <c r="Q2" s="138"/>
      <c r="R2" s="138"/>
      <c r="S2" s="138"/>
      <c r="T2" s="138"/>
      <c r="U2" s="140"/>
      <c r="V2" s="188"/>
    </row>
    <row r="3" spans="2:22" ht="12.75">
      <c r="B3" s="141"/>
      <c r="C3" s="37"/>
      <c r="D3" s="37"/>
      <c r="E3" s="37"/>
      <c r="F3" s="37"/>
      <c r="G3" s="37"/>
      <c r="H3" s="37"/>
      <c r="I3" s="37"/>
      <c r="J3" s="37"/>
      <c r="K3" s="37"/>
      <c r="L3" s="37"/>
      <c r="M3" s="37"/>
      <c r="N3" s="37"/>
      <c r="O3" s="37"/>
      <c r="P3" s="37"/>
      <c r="Q3" s="37"/>
      <c r="R3" s="37"/>
      <c r="S3" s="37"/>
      <c r="T3" s="37"/>
      <c r="U3" s="142"/>
      <c r="V3" s="188"/>
    </row>
    <row r="4" spans="2:22" ht="27.75" customHeight="1">
      <c r="B4" s="141"/>
      <c r="C4" s="37"/>
      <c r="D4" s="37"/>
      <c r="E4" s="37"/>
      <c r="F4" s="37"/>
      <c r="G4" s="37"/>
      <c r="H4" s="37"/>
      <c r="I4" s="37"/>
      <c r="J4" s="37"/>
      <c r="K4" s="37"/>
      <c r="L4" s="37"/>
      <c r="M4" s="37"/>
      <c r="N4" s="37"/>
      <c r="O4" s="37"/>
      <c r="P4" s="37"/>
      <c r="Q4" s="37"/>
      <c r="R4" s="37"/>
      <c r="S4" s="37"/>
      <c r="T4" s="37"/>
      <c r="U4" s="142"/>
      <c r="V4" s="188"/>
    </row>
    <row r="5" spans="2:22" ht="12.75">
      <c r="B5" s="141"/>
      <c r="C5" s="37"/>
      <c r="D5" s="37"/>
      <c r="E5" s="37"/>
      <c r="F5" s="37"/>
      <c r="G5" s="37"/>
      <c r="H5" s="37"/>
      <c r="I5" s="37"/>
      <c r="J5" s="37"/>
      <c r="K5" s="37"/>
      <c r="L5" s="37"/>
      <c r="M5" s="37"/>
      <c r="N5" s="37"/>
      <c r="O5" s="37"/>
      <c r="P5" s="37"/>
      <c r="Q5" s="37"/>
      <c r="R5" s="37"/>
      <c r="S5" s="37"/>
      <c r="T5" s="37"/>
      <c r="U5" s="142"/>
      <c r="V5" s="188"/>
    </row>
    <row r="6" spans="2:22" ht="12.75">
      <c r="B6" s="141"/>
      <c r="C6" s="37"/>
      <c r="D6" s="37"/>
      <c r="E6" s="37"/>
      <c r="F6" s="37"/>
      <c r="G6" s="37"/>
      <c r="H6" s="37"/>
      <c r="I6" s="37"/>
      <c r="J6" s="37"/>
      <c r="K6" s="37"/>
      <c r="L6" s="37"/>
      <c r="M6" s="37"/>
      <c r="N6" s="37"/>
      <c r="O6" s="37"/>
      <c r="P6" s="37"/>
      <c r="Q6" s="37"/>
      <c r="R6" s="37"/>
      <c r="S6" s="37"/>
      <c r="T6" s="37"/>
      <c r="U6" s="142"/>
      <c r="V6" s="188"/>
    </row>
    <row r="7" spans="2:22" ht="9.75" customHeight="1">
      <c r="B7" s="141"/>
      <c r="C7" s="37"/>
      <c r="D7" s="37" t="s">
        <v>131</v>
      </c>
      <c r="E7" s="37"/>
      <c r="F7" s="37"/>
      <c r="G7" s="37"/>
      <c r="H7" s="37"/>
      <c r="I7" s="37"/>
      <c r="J7" s="37"/>
      <c r="K7" s="37"/>
      <c r="L7" s="37"/>
      <c r="M7" s="37"/>
      <c r="N7" s="37"/>
      <c r="O7" s="37"/>
      <c r="P7" s="37"/>
      <c r="Q7" s="37"/>
      <c r="R7" s="37"/>
      <c r="S7" s="37"/>
      <c r="T7" s="37"/>
      <c r="U7" s="142"/>
      <c r="V7" s="188"/>
    </row>
    <row r="8" spans="2:22" ht="17.25">
      <c r="B8" s="141"/>
      <c r="C8" s="27" t="s">
        <v>7</v>
      </c>
      <c r="D8" s="111" t="s">
        <v>8</v>
      </c>
      <c r="E8" s="153"/>
      <c r="F8" s="153"/>
      <c r="G8" s="154"/>
      <c r="H8" s="37"/>
      <c r="I8" s="37"/>
      <c r="J8" s="37"/>
      <c r="K8" s="112" t="s">
        <v>35</v>
      </c>
      <c r="L8" s="148"/>
      <c r="M8" s="148"/>
      <c r="N8" s="148"/>
      <c r="O8" s="148"/>
      <c r="P8" s="149"/>
      <c r="Q8" s="149"/>
      <c r="R8" s="258">
        <v>0.95</v>
      </c>
      <c r="S8" s="259"/>
      <c r="T8" s="260"/>
      <c r="U8" s="142"/>
      <c r="V8" s="188"/>
    </row>
    <row r="9" spans="2:22" ht="15">
      <c r="B9" s="141"/>
      <c r="C9" s="28" t="s">
        <v>25</v>
      </c>
      <c r="D9" s="29" t="s">
        <v>26</v>
      </c>
      <c r="E9" s="255">
        <v>39448</v>
      </c>
      <c r="F9" s="256"/>
      <c r="G9" s="257"/>
      <c r="H9" s="37"/>
      <c r="I9" s="37"/>
      <c r="J9" s="37"/>
      <c r="K9" s="113" t="s">
        <v>29</v>
      </c>
      <c r="L9" s="150"/>
      <c r="M9" s="150"/>
      <c r="N9" s="150"/>
      <c r="O9" s="150"/>
      <c r="P9" s="150"/>
      <c r="Q9" s="150"/>
      <c r="R9" s="150"/>
      <c r="S9" s="150"/>
      <c r="T9" s="151"/>
      <c r="U9" s="142"/>
      <c r="V9" s="188"/>
    </row>
    <row r="10" spans="2:22" ht="15">
      <c r="B10" s="141"/>
      <c r="C10" s="38"/>
      <c r="D10" s="39" t="s">
        <v>2</v>
      </c>
      <c r="E10" s="255">
        <v>41274</v>
      </c>
      <c r="F10" s="256"/>
      <c r="G10" s="257"/>
      <c r="H10" s="37"/>
      <c r="I10" s="37"/>
      <c r="J10" s="37"/>
      <c r="K10" s="37"/>
      <c r="L10" s="37"/>
      <c r="M10" s="37"/>
      <c r="N10" s="37"/>
      <c r="O10" s="37"/>
      <c r="P10" s="37"/>
      <c r="Q10" s="37"/>
      <c r="R10" s="37"/>
      <c r="S10" s="37"/>
      <c r="T10" s="37"/>
      <c r="U10" s="142"/>
      <c r="V10" s="188"/>
    </row>
    <row r="11" spans="2:22" ht="13.5" customHeight="1">
      <c r="B11" s="141"/>
      <c r="C11" s="27" t="s">
        <v>27</v>
      </c>
      <c r="D11" s="152"/>
      <c r="E11" s="261">
        <v>5</v>
      </c>
      <c r="F11" s="256"/>
      <c r="G11" s="257"/>
      <c r="H11" s="37"/>
      <c r="I11" s="37"/>
      <c r="J11" s="37"/>
      <c r="K11" s="37"/>
      <c r="L11" s="37"/>
      <c r="M11" s="37"/>
      <c r="N11" s="37"/>
      <c r="O11" s="37"/>
      <c r="P11" s="37"/>
      <c r="Q11" s="37"/>
      <c r="R11" s="37"/>
      <c r="S11" s="37"/>
      <c r="T11" s="37"/>
      <c r="U11" s="142"/>
      <c r="V11" s="188"/>
    </row>
    <row r="12" spans="2:22" ht="13.5" customHeight="1">
      <c r="B12" s="141"/>
      <c r="C12" s="32" t="s">
        <v>32</v>
      </c>
      <c r="D12" s="33"/>
      <c r="E12" s="262" t="s">
        <v>40</v>
      </c>
      <c r="F12" s="256"/>
      <c r="G12" s="257"/>
      <c r="H12" s="37"/>
      <c r="I12" s="37"/>
      <c r="J12" s="37"/>
      <c r="K12" s="37"/>
      <c r="L12" s="37"/>
      <c r="M12" s="37"/>
      <c r="N12" s="37"/>
      <c r="O12" s="37"/>
      <c r="P12" s="37"/>
      <c r="Q12" s="37"/>
      <c r="R12" s="37"/>
      <c r="S12" s="37"/>
      <c r="T12" s="37"/>
      <c r="U12" s="142"/>
      <c r="V12" s="188"/>
    </row>
    <row r="13" spans="2:22" ht="13.5" customHeight="1">
      <c r="B13" s="141"/>
      <c r="C13" s="32" t="s">
        <v>34</v>
      </c>
      <c r="D13" s="34"/>
      <c r="E13" s="255">
        <v>42767</v>
      </c>
      <c r="F13" s="256"/>
      <c r="G13" s="257"/>
      <c r="H13" s="37"/>
      <c r="I13" s="37"/>
      <c r="J13" s="37"/>
      <c r="K13" s="37"/>
      <c r="L13" s="37"/>
      <c r="M13" s="37"/>
      <c r="N13" s="37"/>
      <c r="O13" s="37"/>
      <c r="P13" s="37"/>
      <c r="Q13" s="37"/>
      <c r="R13" s="37"/>
      <c r="S13" s="37"/>
      <c r="T13" s="37"/>
      <c r="U13" s="142"/>
      <c r="V13" s="188"/>
    </row>
    <row r="14" spans="2:22" ht="10.5" customHeight="1">
      <c r="B14" s="141"/>
      <c r="C14" s="37"/>
      <c r="D14" s="37"/>
      <c r="E14" s="37"/>
      <c r="F14" s="37"/>
      <c r="G14" s="37"/>
      <c r="H14" s="37"/>
      <c r="I14" s="37"/>
      <c r="J14" s="37"/>
      <c r="K14" s="37"/>
      <c r="L14" s="37"/>
      <c r="M14" s="37"/>
      <c r="N14" s="37"/>
      <c r="O14" s="37"/>
      <c r="P14" s="37"/>
      <c r="Q14" s="37"/>
      <c r="R14" s="37"/>
      <c r="S14" s="37"/>
      <c r="T14" s="37"/>
      <c r="U14" s="142"/>
      <c r="V14" s="188"/>
    </row>
    <row r="15" spans="2:22" ht="10.5" customHeight="1">
      <c r="B15" s="141"/>
      <c r="C15" s="37"/>
      <c r="D15" s="37"/>
      <c r="E15" s="37"/>
      <c r="F15" s="37"/>
      <c r="G15" s="37"/>
      <c r="H15" s="37"/>
      <c r="I15" s="37"/>
      <c r="J15" s="37"/>
      <c r="K15" s="37"/>
      <c r="L15" s="37"/>
      <c r="M15" s="37"/>
      <c r="N15" s="37"/>
      <c r="O15" s="37"/>
      <c r="P15" s="37"/>
      <c r="Q15" s="37"/>
      <c r="R15" s="37"/>
      <c r="S15" s="37"/>
      <c r="T15" s="37"/>
      <c r="U15" s="142"/>
      <c r="V15" s="188"/>
    </row>
    <row r="16" spans="2:22" ht="10.5" customHeight="1">
      <c r="B16" s="141"/>
      <c r="C16" s="37"/>
      <c r="D16" s="37"/>
      <c r="E16" s="37"/>
      <c r="F16" s="37"/>
      <c r="G16" s="37"/>
      <c r="H16" s="37"/>
      <c r="I16" s="37"/>
      <c r="J16" s="37"/>
      <c r="K16" s="37"/>
      <c r="L16" s="37"/>
      <c r="M16" s="37"/>
      <c r="N16" s="37"/>
      <c r="O16" s="37"/>
      <c r="P16" s="37"/>
      <c r="Q16" s="37"/>
      <c r="R16" s="37"/>
      <c r="S16" s="37"/>
      <c r="T16" s="37"/>
      <c r="U16" s="142"/>
      <c r="V16" s="188"/>
    </row>
    <row r="17" spans="2:22" ht="10.5" customHeight="1">
      <c r="B17" s="141"/>
      <c r="C17" s="37"/>
      <c r="D17" s="37"/>
      <c r="E17" s="37"/>
      <c r="F17" s="37"/>
      <c r="G17" s="37"/>
      <c r="H17" s="37"/>
      <c r="I17" s="37"/>
      <c r="J17" s="37"/>
      <c r="K17" s="37"/>
      <c r="L17" s="37"/>
      <c r="M17" s="37"/>
      <c r="N17" s="37"/>
      <c r="O17" s="37"/>
      <c r="P17" s="37"/>
      <c r="Q17" s="37"/>
      <c r="R17" s="37"/>
      <c r="S17" s="37"/>
      <c r="T17" s="37"/>
      <c r="U17" s="142"/>
      <c r="V17" s="188"/>
    </row>
    <row r="18" spans="2:22" ht="10.5" customHeight="1">
      <c r="B18" s="141"/>
      <c r="C18" s="37"/>
      <c r="D18" s="37"/>
      <c r="E18" s="37"/>
      <c r="F18" s="37"/>
      <c r="G18" s="37"/>
      <c r="H18" s="37"/>
      <c r="I18" s="37"/>
      <c r="J18" s="37"/>
      <c r="K18" s="37"/>
      <c r="L18" s="37"/>
      <c r="M18" s="37"/>
      <c r="N18" s="37"/>
      <c r="O18" s="37"/>
      <c r="P18" s="37"/>
      <c r="Q18" s="37"/>
      <c r="R18" s="37"/>
      <c r="S18" s="37"/>
      <c r="T18" s="37"/>
      <c r="U18" s="142"/>
      <c r="V18" s="188"/>
    </row>
    <row r="19" spans="2:22" ht="10.5" customHeight="1">
      <c r="B19" s="141"/>
      <c r="C19" s="37"/>
      <c r="D19" s="37"/>
      <c r="E19" s="37"/>
      <c r="F19" s="37"/>
      <c r="G19" s="37"/>
      <c r="H19" s="37"/>
      <c r="I19" s="37"/>
      <c r="J19" s="37"/>
      <c r="K19" s="37"/>
      <c r="L19" s="37"/>
      <c r="M19" s="37"/>
      <c r="N19" s="37"/>
      <c r="O19" s="37"/>
      <c r="P19" s="37"/>
      <c r="Q19" s="37"/>
      <c r="R19" s="37"/>
      <c r="S19" s="37"/>
      <c r="T19" s="37"/>
      <c r="U19" s="142"/>
      <c r="V19" s="188"/>
    </row>
    <row r="20" spans="2:22" ht="10.5" customHeight="1">
      <c r="B20" s="141"/>
      <c r="C20" s="37"/>
      <c r="D20" s="37"/>
      <c r="E20" s="37"/>
      <c r="F20" s="37"/>
      <c r="G20" s="37"/>
      <c r="H20" s="37"/>
      <c r="I20" s="37"/>
      <c r="J20" s="37"/>
      <c r="K20" s="37"/>
      <c r="L20" s="37"/>
      <c r="M20" s="37"/>
      <c r="N20" s="37"/>
      <c r="O20" s="37"/>
      <c r="P20" s="37"/>
      <c r="Q20" s="37"/>
      <c r="R20" s="37"/>
      <c r="S20" s="37"/>
      <c r="T20" s="37"/>
      <c r="U20" s="142"/>
      <c r="V20" s="188"/>
    </row>
    <row r="21" spans="2:22" ht="10.5" customHeight="1">
      <c r="B21" s="141"/>
      <c r="C21" s="110"/>
      <c r="D21" s="110"/>
      <c r="E21" s="110"/>
      <c r="F21" s="110"/>
      <c r="G21" s="110"/>
      <c r="H21" s="110"/>
      <c r="I21" s="110"/>
      <c r="J21" s="110"/>
      <c r="K21" s="37"/>
      <c r="L21" s="37"/>
      <c r="M21" s="110"/>
      <c r="N21" s="37"/>
      <c r="O21" s="37"/>
      <c r="P21" s="37"/>
      <c r="Q21" s="37"/>
      <c r="R21" s="37"/>
      <c r="S21" s="37"/>
      <c r="T21" s="37"/>
      <c r="U21" s="142"/>
      <c r="V21" s="188"/>
    </row>
    <row r="22" spans="2:22" s="181" customFormat="1" ht="12.75">
      <c r="B22" s="146"/>
      <c r="C22" s="40" t="s">
        <v>62</v>
      </c>
      <c r="D22" s="41"/>
      <c r="E22" s="43"/>
      <c r="F22" s="42"/>
      <c r="G22" s="42"/>
      <c r="H22" s="43"/>
      <c r="I22" s="42"/>
      <c r="J22" s="42"/>
      <c r="K22" s="35"/>
      <c r="L22" s="223" t="s">
        <v>122</v>
      </c>
      <c r="M22" s="43"/>
      <c r="N22" s="35"/>
      <c r="O22" s="44"/>
      <c r="P22" s="44"/>
      <c r="Q22" s="44"/>
      <c r="R22" s="224" t="s">
        <v>101</v>
      </c>
      <c r="S22" s="224" t="s">
        <v>100</v>
      </c>
      <c r="T22" s="35" t="s">
        <v>39</v>
      </c>
      <c r="U22" s="142"/>
      <c r="V22" s="188"/>
    </row>
    <row r="23" spans="2:22" s="181" customFormat="1" ht="19.5" customHeight="1">
      <c r="B23" s="146"/>
      <c r="C23" s="250" t="s">
        <v>63</v>
      </c>
      <c r="D23" s="252" t="s">
        <v>64</v>
      </c>
      <c r="E23" s="236" t="s">
        <v>3</v>
      </c>
      <c r="F23" s="236" t="s">
        <v>4</v>
      </c>
      <c r="G23" s="236" t="s">
        <v>5</v>
      </c>
      <c r="H23" s="236" t="s">
        <v>6</v>
      </c>
      <c r="I23" s="236" t="s">
        <v>118</v>
      </c>
      <c r="J23" s="236" t="s">
        <v>119</v>
      </c>
      <c r="K23" s="248" t="s">
        <v>120</v>
      </c>
      <c r="L23" s="248" t="s">
        <v>121</v>
      </c>
      <c r="M23" s="236" t="s">
        <v>127</v>
      </c>
      <c r="N23" s="248" t="s">
        <v>115</v>
      </c>
      <c r="O23" s="248" t="s">
        <v>123</v>
      </c>
      <c r="P23" s="248" t="s">
        <v>124</v>
      </c>
      <c r="Q23" s="248" t="s">
        <v>125</v>
      </c>
      <c r="R23" s="248" t="s">
        <v>126</v>
      </c>
      <c r="S23" s="238" t="s">
        <v>117</v>
      </c>
      <c r="T23" s="36"/>
      <c r="U23" s="142"/>
      <c r="V23" s="188"/>
    </row>
    <row r="24" spans="2:22" s="181" customFormat="1" ht="19.5" customHeight="1">
      <c r="B24" s="146"/>
      <c r="C24" s="250"/>
      <c r="D24" s="252"/>
      <c r="E24" s="236"/>
      <c r="F24" s="236"/>
      <c r="G24" s="236"/>
      <c r="H24" s="236"/>
      <c r="I24" s="236"/>
      <c r="J24" s="236"/>
      <c r="K24" s="248"/>
      <c r="L24" s="248"/>
      <c r="M24" s="236"/>
      <c r="N24" s="248"/>
      <c r="O24" s="248"/>
      <c r="P24" s="248"/>
      <c r="Q24" s="248"/>
      <c r="R24" s="248"/>
      <c r="S24" s="238"/>
      <c r="T24" s="36"/>
      <c r="U24" s="142"/>
      <c r="V24" s="188"/>
    </row>
    <row r="25" spans="2:22" s="181" customFormat="1" ht="19.5" customHeight="1">
      <c r="B25" s="146"/>
      <c r="C25" s="251"/>
      <c r="D25" s="253"/>
      <c r="E25" s="254"/>
      <c r="F25" s="254"/>
      <c r="G25" s="254"/>
      <c r="H25" s="254"/>
      <c r="I25" s="254"/>
      <c r="J25" s="254"/>
      <c r="K25" s="249"/>
      <c r="L25" s="249"/>
      <c r="M25" s="240"/>
      <c r="N25" s="249"/>
      <c r="O25" s="249"/>
      <c r="P25" s="249"/>
      <c r="Q25" s="249"/>
      <c r="R25" s="249"/>
      <c r="S25" s="239"/>
      <c r="T25" s="36"/>
      <c r="U25" s="142"/>
      <c r="V25" s="188"/>
    </row>
    <row r="26" spans="2:22" ht="12.75">
      <c r="B26" s="179"/>
      <c r="C26" s="124" t="s">
        <v>72</v>
      </c>
      <c r="D26" s="125" t="s">
        <v>65</v>
      </c>
      <c r="E26" s="130">
        <v>26</v>
      </c>
      <c r="F26" s="130">
        <v>12</v>
      </c>
      <c r="G26" s="130">
        <v>4</v>
      </c>
      <c r="H26" s="131"/>
      <c r="I26" s="132">
        <v>5000</v>
      </c>
      <c r="J26" s="133">
        <v>6</v>
      </c>
      <c r="K26" s="189">
        <f>SUM(E26:H26)</f>
        <v>42</v>
      </c>
      <c r="L26" s="190">
        <f>IF(M26&gt;0,(H26*'Formulas&amp;Factors'!$H$53+G26*'Formulas&amp;Factors'!$H$52+F26*'Formulas&amp;Factors'!$H$51+E26*'Formulas&amp;Factors'!$H$50)/(M26*100),"")</f>
        <v>7587.945205479452</v>
      </c>
      <c r="M26" s="134">
        <f aca="true" t="shared" si="0" ref="M26:M57">(I26*365*$E$11)/1000000</f>
        <v>9.125</v>
      </c>
      <c r="N26" s="191">
        <f aca="true" t="shared" si="1" ref="N26:N57">IF(M26&gt;0,(K26)/(M26),"")</f>
        <v>4.602739726027397</v>
      </c>
      <c r="O26" s="192">
        <f>IF(J26&gt;0,LOOKUP(J26,'Formulas&amp;Factors'!D$11:D$17,'Formulas&amp;Factors'!H$11:H$17),"")</f>
        <v>0.5248188811188812</v>
      </c>
      <c r="P26" s="191">
        <f>IF(M26&gt;0,O26+LOOKUP(R$8,'Formulas&amp;Factors'!D$50:E$53)*SQRT(O26/M26)+1/(2*M26),"")</f>
        <v>0.9741199271651904</v>
      </c>
      <c r="Q26" s="193" t="str">
        <f aca="true" t="shared" si="2" ref="Q26:Q57">IF(N26&gt;P26,"Yes","")</f>
        <v>Yes</v>
      </c>
      <c r="R26" s="194">
        <f aca="true" t="shared" si="3" ref="R26:R57">IF(OR(N26=0,N26=""),"",N26/P26)</f>
        <v>4.725023683092019</v>
      </c>
      <c r="S26" s="185">
        <f aca="true" t="shared" si="4" ref="S26:S57">IF(SUM(G26:H26)&lt;&gt;0,(H26*1+G26*0.001),"")</f>
        <v>0.004</v>
      </c>
      <c r="T26" s="196"/>
      <c r="U26" s="180"/>
      <c r="V26" s="180"/>
    </row>
    <row r="27" spans="2:22" ht="12.75">
      <c r="B27" s="179"/>
      <c r="C27" s="124" t="s">
        <v>73</v>
      </c>
      <c r="D27" s="125" t="s">
        <v>66</v>
      </c>
      <c r="E27" s="135">
        <v>33</v>
      </c>
      <c r="F27" s="135">
        <v>20</v>
      </c>
      <c r="G27" s="135">
        <v>5</v>
      </c>
      <c r="H27" s="136">
        <v>1</v>
      </c>
      <c r="I27" s="115">
        <v>10000</v>
      </c>
      <c r="J27" s="135">
        <v>5</v>
      </c>
      <c r="K27" s="189">
        <f aca="true" t="shared" si="5" ref="K27:K57">SUM(E27:H27)</f>
        <v>59</v>
      </c>
      <c r="L27" s="190">
        <f>IF(M27&gt;0,(H27*'Formulas&amp;Factors'!$H$53+G27*'Formulas&amp;Factors'!$H$52+F27*'Formulas&amp;Factors'!$H$51+E27*'Formulas&amp;Factors'!$H$50)/(M27*100),"")</f>
        <v>6393.424657534247</v>
      </c>
      <c r="M27" s="134">
        <f t="shared" si="0"/>
        <v>18.25</v>
      </c>
      <c r="N27" s="191">
        <f t="shared" si="1"/>
        <v>3.232876712328767</v>
      </c>
      <c r="O27" s="192">
        <f>IF(J27&gt;0,LOOKUP(J27,'Formulas&amp;Factors'!D$11:D$17,'Formulas&amp;Factors'!H$11:H$17),"")</f>
        <v>0.5691612903225806</v>
      </c>
      <c r="P27" s="191">
        <f>IF(M27&gt;0,O27+LOOKUP(R$8,'Formulas&amp;Factors'!D$50:E$53)*SQRT(O27/M27)+1/(2*M27),"")</f>
        <v>0.8870625699161329</v>
      </c>
      <c r="Q27" s="193" t="str">
        <f t="shared" si="2"/>
        <v>Yes</v>
      </c>
      <c r="R27" s="194">
        <f t="shared" si="3"/>
        <v>3.644474270438915</v>
      </c>
      <c r="S27" s="185">
        <f t="shared" si="4"/>
        <v>1.005</v>
      </c>
      <c r="T27" s="196"/>
      <c r="U27" s="180"/>
      <c r="V27" s="180"/>
    </row>
    <row r="28" spans="2:22" ht="12.75">
      <c r="B28" s="179"/>
      <c r="C28" s="124" t="s">
        <v>74</v>
      </c>
      <c r="D28" s="125" t="s">
        <v>67</v>
      </c>
      <c r="E28" s="135">
        <v>75</v>
      </c>
      <c r="F28" s="135">
        <v>40</v>
      </c>
      <c r="G28" s="135">
        <v>13</v>
      </c>
      <c r="H28" s="136"/>
      <c r="I28" s="115">
        <v>14000</v>
      </c>
      <c r="J28" s="135">
        <v>1</v>
      </c>
      <c r="K28" s="189">
        <f t="shared" si="5"/>
        <v>128</v>
      </c>
      <c r="L28" s="190">
        <f>IF(M28&gt;0,(H28*'Formulas&amp;Factors'!$H$53+G28*'Formulas&amp;Factors'!$H$52+F28*'Formulas&amp;Factors'!$H$51+E28*'Formulas&amp;Factors'!$H$50)/(M28*100),"")</f>
        <v>8811.350293542075</v>
      </c>
      <c r="M28" s="134">
        <f t="shared" si="0"/>
        <v>25.55</v>
      </c>
      <c r="N28" s="191">
        <f t="shared" si="1"/>
        <v>5.009784735812133</v>
      </c>
      <c r="O28" s="192">
        <f>IF(J28&gt;0,LOOKUP(J28,'Formulas&amp;Factors'!D$11:D$17,'Formulas&amp;Factors'!H$11:H$17),"")</f>
        <v>1.1820000000000002</v>
      </c>
      <c r="P28" s="191">
        <f>IF(M28&gt;0,O28+LOOKUP(R$8,'Formulas&amp;Factors'!D$50:E$53)*SQRT(O28/M28)+1/(2*M28),"")</f>
        <v>1.555386872870527</v>
      </c>
      <c r="Q28" s="193" t="str">
        <f t="shared" si="2"/>
        <v>Yes</v>
      </c>
      <c r="R28" s="194">
        <f t="shared" si="3"/>
        <v>3.220925175076462</v>
      </c>
      <c r="S28" s="185">
        <f t="shared" si="4"/>
        <v>0.013000000000000001</v>
      </c>
      <c r="T28" s="196"/>
      <c r="U28" s="180"/>
      <c r="V28" s="180"/>
    </row>
    <row r="29" spans="2:22" ht="12.75">
      <c r="B29" s="179"/>
      <c r="C29" s="124" t="s">
        <v>75</v>
      </c>
      <c r="D29" s="125" t="s">
        <v>68</v>
      </c>
      <c r="E29" s="135">
        <v>45</v>
      </c>
      <c r="F29" s="135">
        <v>24</v>
      </c>
      <c r="G29" s="135">
        <v>8</v>
      </c>
      <c r="H29" s="136"/>
      <c r="I29" s="115">
        <v>8000</v>
      </c>
      <c r="J29" s="135">
        <v>1</v>
      </c>
      <c r="K29" s="189">
        <f t="shared" si="5"/>
        <v>77</v>
      </c>
      <c r="L29" s="190">
        <f>IF(M29&gt;0,(H29*'Formulas&amp;Factors'!$H$53+G29*'Formulas&amp;Factors'!$H$52+F29*'Formulas&amp;Factors'!$H$51+E29*'Formulas&amp;Factors'!$H$50)/(M29*100),"")</f>
        <v>9389.04109589041</v>
      </c>
      <c r="M29" s="134">
        <f t="shared" si="0"/>
        <v>14.6</v>
      </c>
      <c r="N29" s="191">
        <f t="shared" si="1"/>
        <v>5.273972602739726</v>
      </c>
      <c r="O29" s="192">
        <f>IF(J29&gt;0,LOOKUP(J29,'Formulas&amp;Factors'!D$11:D$17,'Formulas&amp;Factors'!H$11:H$17),"")</f>
        <v>1.1820000000000002</v>
      </c>
      <c r="P29" s="191">
        <f>IF(M29&gt;0,O29+LOOKUP(R$8,'Formulas&amp;Factors'!D$50:E$53)*SQRT(O29/M29)+1/(2*M29),"")</f>
        <v>1.6843030019548464</v>
      </c>
      <c r="Q29" s="193" t="str">
        <f t="shared" si="2"/>
        <v>Yes</v>
      </c>
      <c r="R29" s="194">
        <f t="shared" si="3"/>
        <v>3.1312493040852</v>
      </c>
      <c r="S29" s="185">
        <f t="shared" si="4"/>
        <v>0.008</v>
      </c>
      <c r="T29" s="196"/>
      <c r="U29" s="180"/>
      <c r="V29" s="180"/>
    </row>
    <row r="30" spans="2:22" ht="12.75">
      <c r="B30" s="179"/>
      <c r="C30" s="124" t="s">
        <v>76</v>
      </c>
      <c r="D30" s="125" t="s">
        <v>69</v>
      </c>
      <c r="E30" s="135">
        <v>30</v>
      </c>
      <c r="F30" s="135">
        <v>12</v>
      </c>
      <c r="G30" s="135">
        <v>10</v>
      </c>
      <c r="H30" s="136"/>
      <c r="I30" s="115">
        <v>16000</v>
      </c>
      <c r="J30" s="135">
        <v>4</v>
      </c>
      <c r="K30" s="189">
        <f t="shared" si="5"/>
        <v>52</v>
      </c>
      <c r="L30" s="190">
        <f>IF(M30&gt;0,(H30*'Formulas&amp;Factors'!$H$53+G30*'Formulas&amp;Factors'!$H$52+F30*'Formulas&amp;Factors'!$H$51+E30*'Formulas&amp;Factors'!$H$50)/(M30*100),"")</f>
        <v>4455.479452054795</v>
      </c>
      <c r="M30" s="134">
        <f t="shared" si="0"/>
        <v>29.2</v>
      </c>
      <c r="N30" s="191">
        <f t="shared" si="1"/>
        <v>1.7808219178082192</v>
      </c>
      <c r="O30" s="192">
        <f>IF(J30&gt;0,LOOKUP(J30,'Formulas&amp;Factors'!D$11:D$17,'Formulas&amp;Factors'!H$11:H$17),"")</f>
        <v>0.7305</v>
      </c>
      <c r="P30" s="191">
        <f>IF(M30&gt;0,O30+LOOKUP(R$8,'Formulas&amp;Factors'!D$50:E$53)*SQRT(O30/M30)+1/(2*M30),"")</f>
        <v>1.0078096844034998</v>
      </c>
      <c r="Q30" s="193" t="str">
        <f t="shared" si="2"/>
        <v>Yes</v>
      </c>
      <c r="R30" s="194">
        <f t="shared" si="3"/>
        <v>1.7670220333933864</v>
      </c>
      <c r="S30" s="185">
        <f t="shared" si="4"/>
        <v>0.01</v>
      </c>
      <c r="T30" s="196"/>
      <c r="U30" s="180"/>
      <c r="V30" s="180"/>
    </row>
    <row r="31" spans="2:22" ht="12.75">
      <c r="B31" s="179"/>
      <c r="C31" s="124" t="s">
        <v>77</v>
      </c>
      <c r="D31" s="125" t="s">
        <v>70</v>
      </c>
      <c r="E31" s="135">
        <v>55</v>
      </c>
      <c r="F31" s="135">
        <v>30</v>
      </c>
      <c r="G31" s="135">
        <v>12</v>
      </c>
      <c r="H31" s="136">
        <v>1</v>
      </c>
      <c r="I31" s="115">
        <v>13000</v>
      </c>
      <c r="J31" s="135">
        <v>1</v>
      </c>
      <c r="K31" s="189">
        <f t="shared" si="5"/>
        <v>98</v>
      </c>
      <c r="L31" s="190">
        <f>IF(M31&gt;0,(H31*'Formulas&amp;Factors'!$H$53+G31*'Formulas&amp;Factors'!$H$52+F31*'Formulas&amp;Factors'!$H$51+E31*'Formulas&amp;Factors'!$H$50)/(M31*100),"")</f>
        <v>8899.894625922023</v>
      </c>
      <c r="M31" s="134">
        <f t="shared" si="0"/>
        <v>23.725</v>
      </c>
      <c r="N31" s="191">
        <f t="shared" si="1"/>
        <v>4.130663856691254</v>
      </c>
      <c r="O31" s="192">
        <f>IF(J31&gt;0,LOOKUP(J31,'Formulas&amp;Factors'!D$11:D$17,'Formulas&amp;Factors'!H$11:H$17),"")</f>
        <v>1.1820000000000002</v>
      </c>
      <c r="P31" s="191">
        <f>IF(M31&gt;0,O31+LOOKUP(R$8,'Formulas&amp;Factors'!D$50:E$53)*SQRT(O31/M31)+1/(2*M31),"")</f>
        <v>1.5702484852506002</v>
      </c>
      <c r="Q31" s="193" t="str">
        <f t="shared" si="2"/>
        <v>Yes</v>
      </c>
      <c r="R31" s="194">
        <f t="shared" si="3"/>
        <v>2.6305797429456077</v>
      </c>
      <c r="S31" s="185">
        <f t="shared" si="4"/>
        <v>1.012</v>
      </c>
      <c r="T31" s="196"/>
      <c r="U31" s="180"/>
      <c r="V31" s="180"/>
    </row>
    <row r="32" spans="2:22" ht="12.75">
      <c r="B32" s="179"/>
      <c r="C32" s="124" t="s">
        <v>79</v>
      </c>
      <c r="D32" s="125" t="s">
        <v>80</v>
      </c>
      <c r="E32" s="135">
        <v>60</v>
      </c>
      <c r="F32" s="135">
        <v>35</v>
      </c>
      <c r="G32" s="135">
        <v>15</v>
      </c>
      <c r="H32" s="136">
        <v>1</v>
      </c>
      <c r="I32" s="115">
        <v>17000</v>
      </c>
      <c r="J32" s="135">
        <v>1</v>
      </c>
      <c r="K32" s="189">
        <f t="shared" si="5"/>
        <v>111</v>
      </c>
      <c r="L32" s="190">
        <f>IF(M32&gt;0,(H32*'Formulas&amp;Factors'!$H$53+G32*'Formulas&amp;Factors'!$H$52+F32*'Formulas&amp;Factors'!$H$51+E32*'Formulas&amp;Factors'!$H$50)/(M32*100),"")</f>
        <v>8128.2836422240125</v>
      </c>
      <c r="M32" s="134">
        <f t="shared" si="0"/>
        <v>31.025</v>
      </c>
      <c r="N32" s="191">
        <f t="shared" si="1"/>
        <v>3.5777598710717164</v>
      </c>
      <c r="O32" s="192">
        <f>IF(J32&gt;0,LOOKUP(J32,'Formulas&amp;Factors'!D$11:D$17,'Formulas&amp;Factors'!H$11:H$17),"")</f>
        <v>1.1820000000000002</v>
      </c>
      <c r="P32" s="191">
        <f>IF(M32&gt;0,O32+LOOKUP(R$8,'Formulas&amp;Factors'!D$50:E$53)*SQRT(O32/M32)+1/(2*M32),"")</f>
        <v>1.5192000951788054</v>
      </c>
      <c r="Q32" s="193" t="str">
        <f t="shared" si="2"/>
        <v>Yes</v>
      </c>
      <c r="R32" s="194">
        <f t="shared" si="3"/>
        <v>2.355028730202011</v>
      </c>
      <c r="S32" s="185">
        <f t="shared" si="4"/>
        <v>1.015</v>
      </c>
      <c r="T32" s="196"/>
      <c r="U32" s="180"/>
      <c r="V32" s="180"/>
    </row>
    <row r="33" spans="2:22" ht="12.75">
      <c r="B33" s="179"/>
      <c r="C33" s="124" t="s">
        <v>78</v>
      </c>
      <c r="D33" s="125" t="s">
        <v>71</v>
      </c>
      <c r="E33" s="135">
        <v>18</v>
      </c>
      <c r="F33" s="135">
        <v>12</v>
      </c>
      <c r="G33" s="135">
        <v>7</v>
      </c>
      <c r="H33" s="136"/>
      <c r="I33" s="115">
        <v>10000</v>
      </c>
      <c r="J33" s="135">
        <v>3</v>
      </c>
      <c r="K33" s="189">
        <f t="shared" si="5"/>
        <v>37</v>
      </c>
      <c r="L33" s="190">
        <f>IF(M33&gt;0,(H33*'Formulas&amp;Factors'!$H$53+G33*'Formulas&amp;Factors'!$H$52+F33*'Formulas&amp;Factors'!$H$51+E33*'Formulas&amp;Factors'!$H$50)/(M33*100),"")</f>
        <v>5351.780821917808</v>
      </c>
      <c r="M33" s="134">
        <f t="shared" si="0"/>
        <v>18.25</v>
      </c>
      <c r="N33" s="191">
        <f t="shared" si="1"/>
        <v>2.0273972602739727</v>
      </c>
      <c r="O33" s="192">
        <f>IF(J33&gt;0,LOOKUP(J33,'Formulas&amp;Factors'!D$11:D$17,'Formulas&amp;Factors'!H$11:H$17),"")</f>
        <v>1.5714875701684041</v>
      </c>
      <c r="P33" s="191">
        <f>IF(M33&gt;0,O33+LOOKUP(R$8,'Formulas&amp;Factors'!D$50:E$53)*SQRT(O33/M33)+1/(2*M33),"")</f>
        <v>2.0815988841505684</v>
      </c>
      <c r="Q33" s="193">
        <f t="shared" si="2"/>
      </c>
      <c r="R33" s="194">
        <f t="shared" si="3"/>
        <v>0.9739615425962752</v>
      </c>
      <c r="S33" s="185">
        <f t="shared" si="4"/>
        <v>0.007</v>
      </c>
      <c r="T33" s="196"/>
      <c r="U33" s="180"/>
      <c r="V33" s="180"/>
    </row>
    <row r="34" spans="2:22" ht="12.75">
      <c r="B34" s="179"/>
      <c r="C34" s="124"/>
      <c r="D34" s="125"/>
      <c r="E34" s="135"/>
      <c r="F34" s="135"/>
      <c r="G34" s="135"/>
      <c r="H34" s="136"/>
      <c r="I34" s="115"/>
      <c r="J34" s="135"/>
      <c r="K34" s="189">
        <f t="shared" si="5"/>
        <v>0</v>
      </c>
      <c r="L34" s="190">
        <f>IF(M34&gt;0,(H34*'Formulas&amp;Factors'!$H$53+G34*'Formulas&amp;Factors'!$H$52+F34*'Formulas&amp;Factors'!$H$51+E34*'Formulas&amp;Factors'!$H$50)/(M34*100),"")</f>
      </c>
      <c r="M34" s="134">
        <f t="shared" si="0"/>
        <v>0</v>
      </c>
      <c r="N34" s="191">
        <f t="shared" si="1"/>
      </c>
      <c r="O34" s="192">
        <f>IF(J34&gt;0,LOOKUP(J34,'Formulas&amp;Factors'!D$11:D$17,'Formulas&amp;Factors'!H$11:H$17),"")</f>
      </c>
      <c r="P34" s="191">
        <f>IF(M34&gt;0,O34+LOOKUP(R$8,'Formulas&amp;Factors'!D$50:E$53)*SQRT(O34/M34)+1/(2*M34),"")</f>
      </c>
      <c r="Q34" s="193">
        <f t="shared" si="2"/>
      </c>
      <c r="R34" s="194">
        <f t="shared" si="3"/>
      </c>
      <c r="S34" s="185">
        <f t="shared" si="4"/>
      </c>
      <c r="T34" s="196"/>
      <c r="U34" s="180"/>
      <c r="V34" s="180"/>
    </row>
    <row r="35" spans="2:22" ht="12.75">
      <c r="B35" s="179"/>
      <c r="C35" s="124"/>
      <c r="D35" s="125"/>
      <c r="E35" s="135"/>
      <c r="F35" s="135"/>
      <c r="G35" s="135"/>
      <c r="H35" s="136"/>
      <c r="I35" s="115"/>
      <c r="J35" s="135"/>
      <c r="K35" s="189">
        <f t="shared" si="5"/>
        <v>0</v>
      </c>
      <c r="L35" s="190">
        <f>IF(M35&gt;0,(H35*'Formulas&amp;Factors'!$H$53+G35*'Formulas&amp;Factors'!$H$52+F35*'Formulas&amp;Factors'!$H$51+E35*'Formulas&amp;Factors'!$H$50)/(M35*100),"")</f>
      </c>
      <c r="M35" s="134">
        <f t="shared" si="0"/>
        <v>0</v>
      </c>
      <c r="N35" s="191">
        <f t="shared" si="1"/>
      </c>
      <c r="O35" s="192">
        <f>IF(J35&gt;0,LOOKUP(J35,'Formulas&amp;Factors'!D$11:D$17,'Formulas&amp;Factors'!H$11:H$17),"")</f>
      </c>
      <c r="P35" s="191">
        <f>IF(M35&gt;0,O35+LOOKUP(R$8,'Formulas&amp;Factors'!D$50:E$53)*SQRT(O35/M35)+1/(2*M35),"")</f>
      </c>
      <c r="Q35" s="193">
        <f t="shared" si="2"/>
      </c>
      <c r="R35" s="194">
        <f t="shared" si="3"/>
      </c>
      <c r="S35" s="185">
        <f t="shared" si="4"/>
      </c>
      <c r="T35" s="196"/>
      <c r="U35" s="180"/>
      <c r="V35" s="180"/>
    </row>
    <row r="36" spans="2:22" ht="12.75">
      <c r="B36" s="179"/>
      <c r="C36" s="124"/>
      <c r="D36" s="125"/>
      <c r="E36" s="135"/>
      <c r="F36" s="135"/>
      <c r="G36" s="135"/>
      <c r="H36" s="136"/>
      <c r="I36" s="115"/>
      <c r="J36" s="135"/>
      <c r="K36" s="189">
        <f t="shared" si="5"/>
        <v>0</v>
      </c>
      <c r="L36" s="190">
        <f>IF(M36&gt;0,(H36*'Formulas&amp;Factors'!$H$53+G36*'Formulas&amp;Factors'!$H$52+F36*'Formulas&amp;Factors'!$H$51+E36*'Formulas&amp;Factors'!$H$50)/(M36*100),"")</f>
      </c>
      <c r="M36" s="134">
        <f t="shared" si="0"/>
        <v>0</v>
      </c>
      <c r="N36" s="191">
        <f t="shared" si="1"/>
      </c>
      <c r="O36" s="192">
        <f>IF(J36&gt;0,LOOKUP(J36,'Formulas&amp;Factors'!D$11:D$17,'Formulas&amp;Factors'!H$11:H$17),"")</f>
      </c>
      <c r="P36" s="191">
        <f>IF(M36&gt;0,O36+LOOKUP(R$8,'Formulas&amp;Factors'!D$50:E$53)*SQRT(O36/M36)+1/(2*M36),"")</f>
      </c>
      <c r="Q36" s="193">
        <f t="shared" si="2"/>
      </c>
      <c r="R36" s="194">
        <f t="shared" si="3"/>
      </c>
      <c r="S36" s="185">
        <f t="shared" si="4"/>
      </c>
      <c r="T36" s="196"/>
      <c r="U36" s="180"/>
      <c r="V36" s="180"/>
    </row>
    <row r="37" spans="2:22" ht="12.75">
      <c r="B37" s="179"/>
      <c r="C37" s="124"/>
      <c r="D37" s="125"/>
      <c r="E37" s="135"/>
      <c r="F37" s="135"/>
      <c r="G37" s="135"/>
      <c r="H37" s="136"/>
      <c r="I37" s="115"/>
      <c r="J37" s="135"/>
      <c r="K37" s="189">
        <f t="shared" si="5"/>
        <v>0</v>
      </c>
      <c r="L37" s="190">
        <f>IF(M37&gt;0,(H37*'Formulas&amp;Factors'!$H$53+G37*'Formulas&amp;Factors'!$H$52+F37*'Formulas&amp;Factors'!$H$51+E37*'Formulas&amp;Factors'!$H$50)/(M37*100),"")</f>
      </c>
      <c r="M37" s="134">
        <f t="shared" si="0"/>
        <v>0</v>
      </c>
      <c r="N37" s="191">
        <f t="shared" si="1"/>
      </c>
      <c r="O37" s="192">
        <f>IF(J37&gt;0,LOOKUP(J37,'Formulas&amp;Factors'!D$11:D$17,'Formulas&amp;Factors'!H$11:H$17),"")</f>
      </c>
      <c r="P37" s="191">
        <f>IF(M37&gt;0,O37+LOOKUP(R$8,'Formulas&amp;Factors'!D$50:E$53)*SQRT(O37/M37)+1/(2*M37),"")</f>
      </c>
      <c r="Q37" s="193">
        <f t="shared" si="2"/>
      </c>
      <c r="R37" s="194">
        <f t="shared" si="3"/>
      </c>
      <c r="S37" s="185">
        <f t="shared" si="4"/>
      </c>
      <c r="T37" s="196"/>
      <c r="U37" s="180"/>
      <c r="V37" s="180"/>
    </row>
    <row r="38" spans="2:22" ht="12.75">
      <c r="B38" s="179"/>
      <c r="C38" s="124"/>
      <c r="D38" s="125"/>
      <c r="E38" s="135"/>
      <c r="F38" s="135"/>
      <c r="G38" s="135"/>
      <c r="H38" s="136"/>
      <c r="I38" s="115"/>
      <c r="J38" s="135"/>
      <c r="K38" s="189">
        <f t="shared" si="5"/>
        <v>0</v>
      </c>
      <c r="L38" s="190">
        <f>IF(M38&gt;0,(H38*'Formulas&amp;Factors'!$H$53+G38*'Formulas&amp;Factors'!$H$52+F38*'Formulas&amp;Factors'!$H$51+E38*'Formulas&amp;Factors'!$H$50)/(M38*100),"")</f>
      </c>
      <c r="M38" s="134">
        <f t="shared" si="0"/>
        <v>0</v>
      </c>
      <c r="N38" s="191">
        <f t="shared" si="1"/>
      </c>
      <c r="O38" s="192">
        <f>IF(J38&gt;0,LOOKUP(J38,'Formulas&amp;Factors'!D$11:D$17,'Formulas&amp;Factors'!H$11:H$17),"")</f>
      </c>
      <c r="P38" s="191">
        <f>IF(M38&gt;0,O38+LOOKUP(R$8,'Formulas&amp;Factors'!D$50:E$53)*SQRT(O38/M38)+1/(2*M38),"")</f>
      </c>
      <c r="Q38" s="193">
        <f t="shared" si="2"/>
      </c>
      <c r="R38" s="194">
        <f t="shared" si="3"/>
      </c>
      <c r="S38" s="185">
        <f t="shared" si="4"/>
      </c>
      <c r="T38" s="196"/>
      <c r="U38" s="180"/>
      <c r="V38" s="180"/>
    </row>
    <row r="39" spans="2:22" ht="12.75">
      <c r="B39" s="179"/>
      <c r="C39" s="124"/>
      <c r="D39" s="125"/>
      <c r="E39" s="135"/>
      <c r="F39" s="135"/>
      <c r="G39" s="135"/>
      <c r="H39" s="136"/>
      <c r="I39" s="115"/>
      <c r="J39" s="135"/>
      <c r="K39" s="189">
        <f t="shared" si="5"/>
        <v>0</v>
      </c>
      <c r="L39" s="190">
        <f>IF(M39&gt;0,(H39*'Formulas&amp;Factors'!$H$53+G39*'Formulas&amp;Factors'!$H$52+F39*'Formulas&amp;Factors'!$H$51+E39*'Formulas&amp;Factors'!$H$50)/(M39*100),"")</f>
      </c>
      <c r="M39" s="134">
        <f t="shared" si="0"/>
        <v>0</v>
      </c>
      <c r="N39" s="191">
        <f t="shared" si="1"/>
      </c>
      <c r="O39" s="192">
        <f>IF(J39&gt;0,LOOKUP(J39,'Formulas&amp;Factors'!D$11:D$17,'Formulas&amp;Factors'!H$11:H$17),"")</f>
      </c>
      <c r="P39" s="191">
        <f>IF(M39&gt;0,O39+LOOKUP(R$8,'Formulas&amp;Factors'!D$50:E$53)*SQRT(O39/M39)+1/(2*M39),"")</f>
      </c>
      <c r="Q39" s="193">
        <f t="shared" si="2"/>
      </c>
      <c r="R39" s="194">
        <f t="shared" si="3"/>
      </c>
      <c r="S39" s="185">
        <f t="shared" si="4"/>
      </c>
      <c r="T39" s="196"/>
      <c r="U39" s="180"/>
      <c r="V39" s="180"/>
    </row>
    <row r="40" spans="2:22" ht="12.75">
      <c r="B40" s="179"/>
      <c r="C40" s="124"/>
      <c r="D40" s="125"/>
      <c r="E40" s="135"/>
      <c r="F40" s="135"/>
      <c r="G40" s="135"/>
      <c r="H40" s="136"/>
      <c r="I40" s="115"/>
      <c r="J40" s="135"/>
      <c r="K40" s="189">
        <f t="shared" si="5"/>
        <v>0</v>
      </c>
      <c r="L40" s="190">
        <f>IF(M40&gt;0,(H40*'Formulas&amp;Factors'!$H$53+G40*'Formulas&amp;Factors'!$H$52+F40*'Formulas&amp;Factors'!$H$51+E40*'Formulas&amp;Factors'!$H$50)/(M40*100),"")</f>
      </c>
      <c r="M40" s="134">
        <f t="shared" si="0"/>
        <v>0</v>
      </c>
      <c r="N40" s="191">
        <f t="shared" si="1"/>
      </c>
      <c r="O40" s="192">
        <f>IF(J40&gt;0,LOOKUP(J40,'Formulas&amp;Factors'!D$11:D$17,'Formulas&amp;Factors'!H$11:H$17),"")</f>
      </c>
      <c r="P40" s="191">
        <f>IF(M40&gt;0,O40+LOOKUP(R$8,'Formulas&amp;Factors'!D$50:E$53)*SQRT(O40/M40)+1/(2*M40),"")</f>
      </c>
      <c r="Q40" s="193">
        <f t="shared" si="2"/>
      </c>
      <c r="R40" s="194">
        <f t="shared" si="3"/>
      </c>
      <c r="S40" s="185">
        <f t="shared" si="4"/>
      </c>
      <c r="T40" s="196"/>
      <c r="U40" s="180"/>
      <c r="V40" s="180"/>
    </row>
    <row r="41" spans="2:22" ht="12.75">
      <c r="B41" s="179"/>
      <c r="C41" s="124"/>
      <c r="D41" s="125"/>
      <c r="E41" s="135"/>
      <c r="F41" s="135"/>
      <c r="G41" s="135"/>
      <c r="H41" s="136"/>
      <c r="I41" s="115"/>
      <c r="J41" s="135"/>
      <c r="K41" s="189">
        <f t="shared" si="5"/>
        <v>0</v>
      </c>
      <c r="L41" s="190">
        <f>IF(M41&gt;0,(H41*'Formulas&amp;Factors'!$H$53+G41*'Formulas&amp;Factors'!$H$52+F41*'Formulas&amp;Factors'!$H$51+E41*'Formulas&amp;Factors'!$H$50)/(M41*100),"")</f>
      </c>
      <c r="M41" s="134">
        <f t="shared" si="0"/>
        <v>0</v>
      </c>
      <c r="N41" s="191">
        <f t="shared" si="1"/>
      </c>
      <c r="O41" s="192">
        <f>IF(J41&gt;0,LOOKUP(J41,'Formulas&amp;Factors'!D$11:D$17,'Formulas&amp;Factors'!H$11:H$17),"")</f>
      </c>
      <c r="P41" s="191">
        <f>IF(M41&gt;0,O41+LOOKUP(R$8,'Formulas&amp;Factors'!D$50:E$53)*SQRT(O41/M41)+1/(2*M41),"")</f>
      </c>
      <c r="Q41" s="193">
        <f t="shared" si="2"/>
      </c>
      <c r="R41" s="194">
        <f t="shared" si="3"/>
      </c>
      <c r="S41" s="185">
        <f t="shared" si="4"/>
      </c>
      <c r="T41" s="196"/>
      <c r="U41" s="180"/>
      <c r="V41" s="180"/>
    </row>
    <row r="42" spans="2:22" ht="12.75">
      <c r="B42" s="179"/>
      <c r="C42" s="124"/>
      <c r="D42" s="125"/>
      <c r="E42" s="135"/>
      <c r="F42" s="135"/>
      <c r="G42" s="135"/>
      <c r="H42" s="136"/>
      <c r="I42" s="115"/>
      <c r="J42" s="135"/>
      <c r="K42" s="189">
        <f t="shared" si="5"/>
        <v>0</v>
      </c>
      <c r="L42" s="190">
        <f>IF(M42&gt;0,(H42*'Formulas&amp;Factors'!$H$53+G42*'Formulas&amp;Factors'!$H$52+F42*'Formulas&amp;Factors'!$H$51+E42*'Formulas&amp;Factors'!$H$50)/(M42*100),"")</f>
      </c>
      <c r="M42" s="134">
        <f t="shared" si="0"/>
        <v>0</v>
      </c>
      <c r="N42" s="191">
        <f t="shared" si="1"/>
      </c>
      <c r="O42" s="192">
        <f>IF(J42&gt;0,LOOKUP(J42,'Formulas&amp;Factors'!D$11:D$17,'Formulas&amp;Factors'!H$11:H$17),"")</f>
      </c>
      <c r="P42" s="191">
        <f>IF(M42&gt;0,O42+LOOKUP(R$8,'Formulas&amp;Factors'!D$50:E$53)*SQRT(O42/M42)+1/(2*M42),"")</f>
      </c>
      <c r="Q42" s="193">
        <f t="shared" si="2"/>
      </c>
      <c r="R42" s="194">
        <f t="shared" si="3"/>
      </c>
      <c r="S42" s="185">
        <f t="shared" si="4"/>
      </c>
      <c r="T42" s="196"/>
      <c r="U42" s="180"/>
      <c r="V42" s="180"/>
    </row>
    <row r="43" spans="2:22" ht="12.75">
      <c r="B43" s="179"/>
      <c r="C43" s="124"/>
      <c r="D43" s="125"/>
      <c r="E43" s="135"/>
      <c r="F43" s="135"/>
      <c r="G43" s="135"/>
      <c r="H43" s="136"/>
      <c r="I43" s="115"/>
      <c r="J43" s="135"/>
      <c r="K43" s="189">
        <f t="shared" si="5"/>
        <v>0</v>
      </c>
      <c r="L43" s="190">
        <f>IF(M43&gt;0,(H43*'Formulas&amp;Factors'!$H$53+G43*'Formulas&amp;Factors'!$H$52+F43*'Formulas&amp;Factors'!$H$51+E43*'Formulas&amp;Factors'!$H$50)/(M43*100),"")</f>
      </c>
      <c r="M43" s="134">
        <f t="shared" si="0"/>
        <v>0</v>
      </c>
      <c r="N43" s="191">
        <f t="shared" si="1"/>
      </c>
      <c r="O43" s="192">
        <f>IF(J43&gt;0,LOOKUP(J43,'Formulas&amp;Factors'!D$11:D$17,'Formulas&amp;Factors'!H$11:H$17),"")</f>
      </c>
      <c r="P43" s="191">
        <f>IF(M43&gt;0,O43+LOOKUP(R$8,'Formulas&amp;Factors'!D$50:E$53)*SQRT(O43/M43)+1/(2*M43),"")</f>
      </c>
      <c r="Q43" s="193">
        <f t="shared" si="2"/>
      </c>
      <c r="R43" s="194">
        <f t="shared" si="3"/>
      </c>
      <c r="S43" s="185">
        <f t="shared" si="4"/>
      </c>
      <c r="T43" s="196"/>
      <c r="U43" s="180"/>
      <c r="V43" s="180"/>
    </row>
    <row r="44" spans="2:22" ht="12.75">
      <c r="B44" s="179"/>
      <c r="C44" s="124"/>
      <c r="D44" s="125"/>
      <c r="E44" s="135"/>
      <c r="F44" s="135"/>
      <c r="G44" s="135"/>
      <c r="H44" s="136"/>
      <c r="I44" s="115"/>
      <c r="J44" s="135"/>
      <c r="K44" s="189">
        <f t="shared" si="5"/>
        <v>0</v>
      </c>
      <c r="L44" s="190">
        <f>IF(M44&gt;0,(H44*'Formulas&amp;Factors'!$H$53+G44*'Formulas&amp;Factors'!$H$52+F44*'Formulas&amp;Factors'!$H$51+E44*'Formulas&amp;Factors'!$H$50)/(M44*100),"")</f>
      </c>
      <c r="M44" s="134">
        <f t="shared" si="0"/>
        <v>0</v>
      </c>
      <c r="N44" s="191">
        <f t="shared" si="1"/>
      </c>
      <c r="O44" s="192">
        <f>IF(J44&gt;0,LOOKUP(J44,'Formulas&amp;Factors'!D$11:D$17,'Formulas&amp;Factors'!H$11:H$17),"")</f>
      </c>
      <c r="P44" s="191">
        <f>IF(M44&gt;0,O44+LOOKUP(R$8,'Formulas&amp;Factors'!D$50:E$53)*SQRT(O44/M44)+1/(2*M44),"")</f>
      </c>
      <c r="Q44" s="193">
        <f t="shared" si="2"/>
      </c>
      <c r="R44" s="194">
        <f t="shared" si="3"/>
      </c>
      <c r="S44" s="185">
        <f t="shared" si="4"/>
      </c>
      <c r="T44" s="196"/>
      <c r="U44" s="180"/>
      <c r="V44" s="180"/>
    </row>
    <row r="45" spans="2:22" ht="12.75">
      <c r="B45" s="179"/>
      <c r="C45" s="124"/>
      <c r="D45" s="125"/>
      <c r="E45" s="135"/>
      <c r="F45" s="135"/>
      <c r="G45" s="135"/>
      <c r="H45" s="136"/>
      <c r="I45" s="115"/>
      <c r="J45" s="135"/>
      <c r="K45" s="189">
        <f t="shared" si="5"/>
        <v>0</v>
      </c>
      <c r="L45" s="190">
        <f>IF(M45&gt;0,(H45*'Formulas&amp;Factors'!$H$53+G45*'Formulas&amp;Factors'!$H$52+F45*'Formulas&amp;Factors'!$H$51+E45*'Formulas&amp;Factors'!$H$50)/(M45*100),"")</f>
      </c>
      <c r="M45" s="134">
        <f t="shared" si="0"/>
        <v>0</v>
      </c>
      <c r="N45" s="191">
        <f t="shared" si="1"/>
      </c>
      <c r="O45" s="192">
        <f>IF(J45&gt;0,LOOKUP(J45,'Formulas&amp;Factors'!D$11:D$17,'Formulas&amp;Factors'!H$11:H$17),"")</f>
      </c>
      <c r="P45" s="191">
        <f>IF(M45&gt;0,O45+LOOKUP(R$8,'Formulas&amp;Factors'!D$50:E$53)*SQRT(O45/M45)+1/(2*M45),"")</f>
      </c>
      <c r="Q45" s="193">
        <f t="shared" si="2"/>
      </c>
      <c r="R45" s="194">
        <f t="shared" si="3"/>
      </c>
      <c r="S45" s="185">
        <f t="shared" si="4"/>
      </c>
      <c r="T45" s="196"/>
      <c r="U45" s="180"/>
      <c r="V45" s="180"/>
    </row>
    <row r="46" spans="2:22" ht="12.75">
      <c r="B46" s="179"/>
      <c r="C46" s="124"/>
      <c r="D46" s="125"/>
      <c r="E46" s="135"/>
      <c r="F46" s="135"/>
      <c r="G46" s="135"/>
      <c r="H46" s="136"/>
      <c r="I46" s="115"/>
      <c r="J46" s="135"/>
      <c r="K46" s="189">
        <f t="shared" si="5"/>
        <v>0</v>
      </c>
      <c r="L46" s="190">
        <f>IF(M46&gt;0,(H46*'Formulas&amp;Factors'!$H$53+G46*'Formulas&amp;Factors'!$H$52+F46*'Formulas&amp;Factors'!$H$51+E46*'Formulas&amp;Factors'!$H$50)/(M46*100),"")</f>
      </c>
      <c r="M46" s="134">
        <f t="shared" si="0"/>
        <v>0</v>
      </c>
      <c r="N46" s="191">
        <f t="shared" si="1"/>
      </c>
      <c r="O46" s="192">
        <f>IF(J46&gt;0,LOOKUP(J46,'Formulas&amp;Factors'!D$11:D$17,'Formulas&amp;Factors'!H$11:H$17),"")</f>
      </c>
      <c r="P46" s="191">
        <f>IF(M46&gt;0,O46+LOOKUP(R$8,'Formulas&amp;Factors'!D$50:E$53)*SQRT(O46/M46)+1/(2*M46),"")</f>
      </c>
      <c r="Q46" s="193">
        <f t="shared" si="2"/>
      </c>
      <c r="R46" s="194">
        <f t="shared" si="3"/>
      </c>
      <c r="S46" s="185">
        <f t="shared" si="4"/>
      </c>
      <c r="T46" s="196"/>
      <c r="U46" s="180"/>
      <c r="V46" s="180"/>
    </row>
    <row r="47" spans="2:22" ht="12.75">
      <c r="B47" s="179"/>
      <c r="C47" s="126"/>
      <c r="D47" s="127"/>
      <c r="E47" s="119"/>
      <c r="F47" s="119"/>
      <c r="G47" s="119"/>
      <c r="H47" s="118"/>
      <c r="I47" s="120"/>
      <c r="J47" s="119"/>
      <c r="K47" s="189">
        <f t="shared" si="5"/>
        <v>0</v>
      </c>
      <c r="L47" s="190">
        <f>IF(M47&gt;0,(H47*'Formulas&amp;Factors'!$H$53+G47*'Formulas&amp;Factors'!$H$52+F47*'Formulas&amp;Factors'!$H$51+E47*'Formulas&amp;Factors'!$H$50)/(M47*100),"")</f>
      </c>
      <c r="M47" s="134">
        <f t="shared" si="0"/>
        <v>0</v>
      </c>
      <c r="N47" s="191">
        <f t="shared" si="1"/>
      </c>
      <c r="O47" s="192">
        <f>IF(J47&gt;0,LOOKUP(J47,'Formulas&amp;Factors'!D$11:D$17,'Formulas&amp;Factors'!H$11:H$17),"")</f>
      </c>
      <c r="P47" s="191">
        <f>IF(M47&gt;0,O47+LOOKUP(R$8,'Formulas&amp;Factors'!D$50:E$53)*SQRT(O47/M47)+1/(2*M47),"")</f>
      </c>
      <c r="Q47" s="193">
        <f t="shared" si="2"/>
      </c>
      <c r="R47" s="194">
        <f t="shared" si="3"/>
      </c>
      <c r="S47" s="185">
        <f t="shared" si="4"/>
      </c>
      <c r="T47" s="196"/>
      <c r="U47" s="187"/>
      <c r="V47" s="180"/>
    </row>
    <row r="48" spans="2:21" ht="12.75">
      <c r="B48" s="179"/>
      <c r="C48" s="128"/>
      <c r="D48" s="129"/>
      <c r="E48" s="122"/>
      <c r="F48" s="122"/>
      <c r="G48" s="122"/>
      <c r="H48" s="121"/>
      <c r="I48" s="123"/>
      <c r="J48" s="122"/>
      <c r="K48" s="189">
        <f t="shared" si="5"/>
        <v>0</v>
      </c>
      <c r="L48" s="190">
        <f>IF(M48&gt;0,(H48*'Formulas&amp;Factors'!$H$53+G48*'Formulas&amp;Factors'!$H$52+F48*'Formulas&amp;Factors'!$H$51+E48*'Formulas&amp;Factors'!$H$50)/(M48*100),"")</f>
      </c>
      <c r="M48" s="134">
        <f t="shared" si="0"/>
        <v>0</v>
      </c>
      <c r="N48" s="191">
        <f t="shared" si="1"/>
      </c>
      <c r="O48" s="192">
        <f>IF(J48&gt;0,LOOKUP(J48,'Formulas&amp;Factors'!D$11:D$17,'Formulas&amp;Factors'!H$11:H$17),"")</f>
      </c>
      <c r="P48" s="191">
        <f>IF(M48&gt;0,O48+LOOKUP(R$8,'Formulas&amp;Factors'!D$50:E$53)*SQRT(O48/M48)+1/(2*M48),"")</f>
      </c>
      <c r="Q48" s="193">
        <f t="shared" si="2"/>
      </c>
      <c r="R48" s="194">
        <f t="shared" si="3"/>
      </c>
      <c r="S48" s="185">
        <f t="shared" si="4"/>
      </c>
      <c r="T48" s="196"/>
      <c r="U48" s="187"/>
    </row>
    <row r="49" spans="2:21" ht="12.75">
      <c r="B49" s="179"/>
      <c r="C49" s="128"/>
      <c r="D49" s="129"/>
      <c r="E49" s="122"/>
      <c r="F49" s="122"/>
      <c r="G49" s="122"/>
      <c r="H49" s="121"/>
      <c r="I49" s="123"/>
      <c r="J49" s="122"/>
      <c r="K49" s="189">
        <f t="shared" si="5"/>
        <v>0</v>
      </c>
      <c r="L49" s="190">
        <f>IF(M49&gt;0,(H49*'Formulas&amp;Factors'!$H$53+G49*'Formulas&amp;Factors'!$H$52+F49*'Formulas&amp;Factors'!$H$51+E49*'Formulas&amp;Factors'!$H$50)/(M49*100),"")</f>
      </c>
      <c r="M49" s="134">
        <f t="shared" si="0"/>
        <v>0</v>
      </c>
      <c r="N49" s="191">
        <f t="shared" si="1"/>
      </c>
      <c r="O49" s="192">
        <f>IF(J49&gt;0,LOOKUP(J49,'Formulas&amp;Factors'!D$11:D$17,'Formulas&amp;Factors'!H$11:H$17),"")</f>
      </c>
      <c r="P49" s="191">
        <f>IF(M49&gt;0,O49+LOOKUP(R$8,'Formulas&amp;Factors'!D$50:E$53)*SQRT(O49/M49)+1/(2*M49),"")</f>
      </c>
      <c r="Q49" s="193">
        <f t="shared" si="2"/>
      </c>
      <c r="R49" s="194">
        <f t="shared" si="3"/>
      </c>
      <c r="S49" s="185">
        <f t="shared" si="4"/>
      </c>
      <c r="T49" s="196"/>
      <c r="U49" s="187"/>
    </row>
    <row r="50" spans="2:21" ht="12.75">
      <c r="B50" s="179"/>
      <c r="C50" s="128"/>
      <c r="D50" s="129"/>
      <c r="E50" s="122"/>
      <c r="F50" s="122"/>
      <c r="G50" s="122"/>
      <c r="H50" s="121"/>
      <c r="I50" s="123"/>
      <c r="J50" s="122"/>
      <c r="K50" s="189">
        <f t="shared" si="5"/>
        <v>0</v>
      </c>
      <c r="L50" s="190">
        <f>IF(M50&gt;0,(H50*'Formulas&amp;Factors'!$H$53+G50*'Formulas&amp;Factors'!$H$52+F50*'Formulas&amp;Factors'!$H$51+E50*'Formulas&amp;Factors'!$H$50)/(M50*100),"")</f>
      </c>
      <c r="M50" s="134">
        <f t="shared" si="0"/>
        <v>0</v>
      </c>
      <c r="N50" s="191">
        <f t="shared" si="1"/>
      </c>
      <c r="O50" s="192">
        <f>IF(J50&gt;0,LOOKUP(J50,'Formulas&amp;Factors'!D$11:D$17,'Formulas&amp;Factors'!H$11:H$17),"")</f>
      </c>
      <c r="P50" s="191">
        <f>IF(M50&gt;0,O50+LOOKUP(R$8,'Formulas&amp;Factors'!D$50:E$53)*SQRT(O50/M50)+1/(2*M50),"")</f>
      </c>
      <c r="Q50" s="193">
        <f t="shared" si="2"/>
      </c>
      <c r="R50" s="194">
        <f t="shared" si="3"/>
      </c>
      <c r="S50" s="185">
        <f t="shared" si="4"/>
      </c>
      <c r="T50" s="196"/>
      <c r="U50" s="187"/>
    </row>
    <row r="51" spans="2:21" ht="12.75">
      <c r="B51" s="179"/>
      <c r="C51" s="128"/>
      <c r="D51" s="129"/>
      <c r="E51" s="122"/>
      <c r="F51" s="122"/>
      <c r="G51" s="122"/>
      <c r="H51" s="121"/>
      <c r="I51" s="123"/>
      <c r="J51" s="122"/>
      <c r="K51" s="189">
        <f t="shared" si="5"/>
        <v>0</v>
      </c>
      <c r="L51" s="190">
        <f>IF(M51&gt;0,(H51*'Formulas&amp;Factors'!$H$53+G51*'Formulas&amp;Factors'!$H$52+F51*'Formulas&amp;Factors'!$H$51+E51*'Formulas&amp;Factors'!$H$50)/(M51*100),"")</f>
      </c>
      <c r="M51" s="134">
        <f t="shared" si="0"/>
        <v>0</v>
      </c>
      <c r="N51" s="191">
        <f t="shared" si="1"/>
      </c>
      <c r="O51" s="192">
        <f>IF(J51&gt;0,LOOKUP(J51,'Formulas&amp;Factors'!D$11:D$17,'Formulas&amp;Factors'!H$11:H$17),"")</f>
      </c>
      <c r="P51" s="191">
        <f>IF(M51&gt;0,O51+LOOKUP(R$8,'Formulas&amp;Factors'!D$50:E$53)*SQRT(O51/M51)+1/(2*M51),"")</f>
      </c>
      <c r="Q51" s="193">
        <f t="shared" si="2"/>
      </c>
      <c r="R51" s="194">
        <f t="shared" si="3"/>
      </c>
      <c r="S51" s="185">
        <f t="shared" si="4"/>
      </c>
      <c r="T51" s="196"/>
      <c r="U51" s="187"/>
    </row>
    <row r="52" spans="2:21" ht="12.75">
      <c r="B52" s="179"/>
      <c r="C52" s="128"/>
      <c r="D52" s="129"/>
      <c r="E52" s="122"/>
      <c r="F52" s="122"/>
      <c r="G52" s="122"/>
      <c r="H52" s="121"/>
      <c r="I52" s="123"/>
      <c r="J52" s="122"/>
      <c r="K52" s="189">
        <f t="shared" si="5"/>
        <v>0</v>
      </c>
      <c r="L52" s="190">
        <f>IF(M52&gt;0,(H52*'Formulas&amp;Factors'!$H$53+G52*'Formulas&amp;Factors'!$H$52+F52*'Formulas&amp;Factors'!$H$51+E52*'Formulas&amp;Factors'!$H$50)/(M52*100),"")</f>
      </c>
      <c r="M52" s="134">
        <f t="shared" si="0"/>
        <v>0</v>
      </c>
      <c r="N52" s="191">
        <f t="shared" si="1"/>
      </c>
      <c r="O52" s="192">
        <f>IF(J52&gt;0,LOOKUP(J52,'Formulas&amp;Factors'!D$11:D$17,'Formulas&amp;Factors'!H$11:H$17),"")</f>
      </c>
      <c r="P52" s="191">
        <f>IF(M52&gt;0,O52+LOOKUP(R$8,'Formulas&amp;Factors'!D$50:E$53)*SQRT(O52/M52)+1/(2*M52),"")</f>
      </c>
      <c r="Q52" s="193">
        <f t="shared" si="2"/>
      </c>
      <c r="R52" s="194">
        <f t="shared" si="3"/>
      </c>
      <c r="S52" s="185">
        <f t="shared" si="4"/>
      </c>
      <c r="T52" s="196"/>
      <c r="U52" s="187"/>
    </row>
    <row r="53" spans="2:21" ht="12.75">
      <c r="B53" s="179"/>
      <c r="C53" s="128"/>
      <c r="D53" s="129"/>
      <c r="E53" s="122"/>
      <c r="F53" s="122"/>
      <c r="G53" s="122"/>
      <c r="H53" s="121"/>
      <c r="I53" s="123"/>
      <c r="J53" s="122"/>
      <c r="K53" s="189">
        <f t="shared" si="5"/>
        <v>0</v>
      </c>
      <c r="L53" s="190">
        <f>IF(M53&gt;0,(H53*'Formulas&amp;Factors'!$H$53+G53*'Formulas&amp;Factors'!$H$52+F53*'Formulas&amp;Factors'!$H$51+E53*'Formulas&amp;Factors'!$H$50)/(M53*100),"")</f>
      </c>
      <c r="M53" s="134">
        <f t="shared" si="0"/>
        <v>0</v>
      </c>
      <c r="N53" s="191">
        <f t="shared" si="1"/>
      </c>
      <c r="O53" s="192">
        <f>IF(J53&gt;0,LOOKUP(J53,'Formulas&amp;Factors'!D$11:D$17,'Formulas&amp;Factors'!H$11:H$17),"")</f>
      </c>
      <c r="P53" s="191">
        <f>IF(M53&gt;0,O53+LOOKUP(R$8,'Formulas&amp;Factors'!D$50:E$53)*SQRT(O53/M53)+1/(2*M53),"")</f>
      </c>
      <c r="Q53" s="193">
        <f t="shared" si="2"/>
      </c>
      <c r="R53" s="194">
        <f t="shared" si="3"/>
      </c>
      <c r="S53" s="185">
        <f t="shared" si="4"/>
      </c>
      <c r="T53" s="196"/>
      <c r="U53" s="187"/>
    </row>
    <row r="54" spans="2:21" ht="12.75">
      <c r="B54" s="179"/>
      <c r="C54" s="128"/>
      <c r="D54" s="129"/>
      <c r="E54" s="122"/>
      <c r="F54" s="122"/>
      <c r="G54" s="122"/>
      <c r="H54" s="121"/>
      <c r="I54" s="123"/>
      <c r="J54" s="122"/>
      <c r="K54" s="189">
        <f t="shared" si="5"/>
        <v>0</v>
      </c>
      <c r="L54" s="190">
        <f>IF(M54&gt;0,(H54*'Formulas&amp;Factors'!$H$53+G54*'Formulas&amp;Factors'!$H$52+F54*'Formulas&amp;Factors'!$H$51+E54*'Formulas&amp;Factors'!$H$50)/(M54*100),"")</f>
      </c>
      <c r="M54" s="134">
        <f t="shared" si="0"/>
        <v>0</v>
      </c>
      <c r="N54" s="191">
        <f t="shared" si="1"/>
      </c>
      <c r="O54" s="192">
        <f>IF(J54&gt;0,LOOKUP(J54,'Formulas&amp;Factors'!D$11:D$17,'Formulas&amp;Factors'!H$11:H$17),"")</f>
      </c>
      <c r="P54" s="191">
        <f>IF(M54&gt;0,O54+LOOKUP(R$8,'Formulas&amp;Factors'!D$50:E$53)*SQRT(O54/M54)+1/(2*M54),"")</f>
      </c>
      <c r="Q54" s="193">
        <f t="shared" si="2"/>
      </c>
      <c r="R54" s="194">
        <f t="shared" si="3"/>
      </c>
      <c r="S54" s="185">
        <f t="shared" si="4"/>
      </c>
      <c r="T54" s="196"/>
      <c r="U54" s="187"/>
    </row>
    <row r="55" spans="2:21" ht="12.75">
      <c r="B55" s="179"/>
      <c r="C55" s="128"/>
      <c r="D55" s="129"/>
      <c r="E55" s="122"/>
      <c r="F55" s="122"/>
      <c r="G55" s="122"/>
      <c r="H55" s="121"/>
      <c r="I55" s="123"/>
      <c r="J55" s="122"/>
      <c r="K55" s="189">
        <f t="shared" si="5"/>
        <v>0</v>
      </c>
      <c r="L55" s="190">
        <f>IF(M55&gt;0,(H55*'Formulas&amp;Factors'!$H$53+G55*'Formulas&amp;Factors'!$H$52+F55*'Formulas&amp;Factors'!$H$51+E55*'Formulas&amp;Factors'!$H$50)/(M55*100),"")</f>
      </c>
      <c r="M55" s="134">
        <f t="shared" si="0"/>
        <v>0</v>
      </c>
      <c r="N55" s="191">
        <f t="shared" si="1"/>
      </c>
      <c r="O55" s="192">
        <f>IF(J55&gt;0,LOOKUP(J55,'Formulas&amp;Factors'!D$11:D$17,'Formulas&amp;Factors'!H$11:H$17),"")</f>
      </c>
      <c r="P55" s="191">
        <f>IF(M55&gt;0,O55+LOOKUP(R$8,'Formulas&amp;Factors'!D$50:E$53)*SQRT(O55/M55)+1/(2*M55),"")</f>
      </c>
      <c r="Q55" s="193">
        <f t="shared" si="2"/>
      </c>
      <c r="R55" s="194">
        <f t="shared" si="3"/>
      </c>
      <c r="S55" s="185">
        <f t="shared" si="4"/>
      </c>
      <c r="T55" s="196"/>
      <c r="U55" s="187"/>
    </row>
    <row r="56" spans="2:21" ht="12.75">
      <c r="B56" s="179"/>
      <c r="C56" s="128"/>
      <c r="D56" s="129"/>
      <c r="E56" s="122"/>
      <c r="F56" s="122"/>
      <c r="G56" s="122"/>
      <c r="H56" s="121"/>
      <c r="I56" s="123"/>
      <c r="J56" s="122"/>
      <c r="K56" s="189">
        <f t="shared" si="5"/>
        <v>0</v>
      </c>
      <c r="L56" s="190">
        <f>IF(M56&gt;0,(H56*'Formulas&amp;Factors'!$H$53+G56*'Formulas&amp;Factors'!$H$52+F56*'Formulas&amp;Factors'!$H$51+E56*'Formulas&amp;Factors'!$H$50)/(M56*100),"")</f>
      </c>
      <c r="M56" s="134">
        <f t="shared" si="0"/>
        <v>0</v>
      </c>
      <c r="N56" s="191">
        <f t="shared" si="1"/>
      </c>
      <c r="O56" s="192">
        <f>IF(J56&gt;0,LOOKUP(J56,'Formulas&amp;Factors'!D$11:D$17,'Formulas&amp;Factors'!H$11:H$17),"")</f>
      </c>
      <c r="P56" s="191">
        <f>IF(M56&gt;0,O56+LOOKUP(R$8,'Formulas&amp;Factors'!D$50:E$53)*SQRT(O56/M56)+1/(2*M56),"")</f>
      </c>
      <c r="Q56" s="193">
        <f t="shared" si="2"/>
      </c>
      <c r="R56" s="194">
        <f t="shared" si="3"/>
      </c>
      <c r="S56" s="185">
        <f t="shared" si="4"/>
      </c>
      <c r="T56" s="196"/>
      <c r="U56" s="187"/>
    </row>
    <row r="57" spans="2:21" ht="12.75">
      <c r="B57" s="179"/>
      <c r="C57" s="128"/>
      <c r="D57" s="129"/>
      <c r="E57" s="122"/>
      <c r="F57" s="122"/>
      <c r="G57" s="122"/>
      <c r="H57" s="121"/>
      <c r="I57" s="123"/>
      <c r="J57" s="122"/>
      <c r="K57" s="189">
        <f t="shared" si="5"/>
        <v>0</v>
      </c>
      <c r="L57" s="190">
        <f>IF(M57&gt;0,(H57*'Formulas&amp;Factors'!$H$53+G57*'Formulas&amp;Factors'!$H$52+F57*'Formulas&amp;Factors'!$H$51+E57*'Formulas&amp;Factors'!$H$50)/(M57*100),"")</f>
      </c>
      <c r="M57" s="134">
        <f t="shared" si="0"/>
        <v>0</v>
      </c>
      <c r="N57" s="191">
        <f t="shared" si="1"/>
      </c>
      <c r="O57" s="192">
        <f>IF(J57&gt;0,LOOKUP(J57,'Formulas&amp;Factors'!D$11:D$17,'Formulas&amp;Factors'!H$11:H$17),"")</f>
      </c>
      <c r="P57" s="191">
        <f>IF(M57&gt;0,O57+LOOKUP(R$8,'Formulas&amp;Factors'!D$50:E$53)*SQRT(O57/M57)+1/(2*M57),"")</f>
      </c>
      <c r="Q57" s="193">
        <f t="shared" si="2"/>
      </c>
      <c r="R57" s="194">
        <f t="shared" si="3"/>
      </c>
      <c r="S57" s="185">
        <f t="shared" si="4"/>
      </c>
      <c r="T57" s="196"/>
      <c r="U57" s="187"/>
    </row>
  </sheetData>
  <sheetProtection formatColumns="0" formatRows="0" insertRows="0" deleteRows="0" sort="0"/>
  <autoFilter ref="C23:S25"/>
  <mergeCells count="23">
    <mergeCell ref="I23:I25"/>
    <mergeCell ref="E13:G13"/>
    <mergeCell ref="R8:T8"/>
    <mergeCell ref="E9:G9"/>
    <mergeCell ref="E10:G10"/>
    <mergeCell ref="E11:G11"/>
    <mergeCell ref="E12:G12"/>
    <mergeCell ref="S23:S25"/>
    <mergeCell ref="J23:J25"/>
    <mergeCell ref="N23:N25"/>
    <mergeCell ref="C23:C25"/>
    <mergeCell ref="D23:D25"/>
    <mergeCell ref="E23:E25"/>
    <mergeCell ref="F23:F25"/>
    <mergeCell ref="G23:G25"/>
    <mergeCell ref="H23:H25"/>
    <mergeCell ref="O23:O25"/>
    <mergeCell ref="P23:P25"/>
    <mergeCell ref="Q23:Q25"/>
    <mergeCell ref="R23:R25"/>
    <mergeCell ref="M23:M25"/>
    <mergeCell ref="K23:K25"/>
    <mergeCell ref="L23:L25"/>
  </mergeCells>
  <conditionalFormatting sqref="R26:R57">
    <cfRule type="cellIs" priority="1" dxfId="2" operator="greaterThanOrEqual" stopIfTrue="1">
      <formula>0.9</formula>
    </cfRule>
  </conditionalFormatting>
  <printOptions/>
  <pageMargins left="0.83" right="0.63" top="0.44" bottom="0.28" header="0.45" footer="0.27"/>
  <pageSetup fitToHeight="1" fitToWidth="1" horizontalDpi="600" verticalDpi="600" orientation="landscape" scale="65" r:id="rId2"/>
  <headerFooter alignWithMargins="0">
    <oddFooter>&amp;LAlaska HSIP Handbook&amp;CA-4&amp;REffective January 1, 2017</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Alaska DOT/PF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KurtS</dc:creator>
  <cp:keywords/>
  <dc:description/>
  <cp:lastModifiedBy>Walker, Matthew I (DOT)</cp:lastModifiedBy>
  <cp:lastPrinted>2016-12-21T00:29:58Z</cp:lastPrinted>
  <dcterms:created xsi:type="dcterms:W3CDTF">1998-04-06T22:48:04Z</dcterms:created>
  <dcterms:modified xsi:type="dcterms:W3CDTF">2016-12-23T01:54:35Z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